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misuhartono/Desktop/Skripsi/"/>
    </mc:Choice>
  </mc:AlternateContent>
  <xr:revisionPtr revIDLastSave="0" documentId="13_ncr:1_{AD6820A4-58DE-2B41-90B7-14F86406A670}" xr6:coauthVersionLast="47" xr6:coauthVersionMax="47" xr10:uidLastSave="{00000000-0000-0000-0000-000000000000}"/>
  <bookViews>
    <workbookView xWindow="0" yWindow="500" windowWidth="28800" windowHeight="16620" xr2:uid="{96593EDC-2F64-EE4A-824A-ECC5138D479A}"/>
  </bookViews>
  <sheets>
    <sheet name="Siap Olah" sheetId="10" r:id="rId1"/>
    <sheet name="Lampiran" sheetId="15" state="hidden" r:id="rId2"/>
    <sheet name="2023 - 2019" sheetId="9" r:id="rId3"/>
    <sheet name="2018-2014" sheetId="11" r:id="rId4"/>
    <sheet name="Breakdown Bank 2023-2019" sheetId="5" r:id="rId5"/>
    <sheet name="Breakdown Bank 2018-2014" sheetId="13" r:id="rId6"/>
    <sheet name="Makro Ekonomi - Variabel X" sheetId="2" r:id="rId7"/>
    <sheet name="Sheet2" sheetId="14" state="hidden" r:id="rId8"/>
    <sheet name="USD" sheetId="6" state="hidden" r:id="rId9"/>
    <sheet name="Daftar LQ 45" sheetId="1" state="hidden" r:id="rId10"/>
    <sheet name="Sheet1" sheetId="4" state="hidden" r:id="rId11"/>
    <sheet name="Variabel" sheetId="8" state="hidden" r:id="rId12"/>
    <sheet name="Variable Y" sheetId="3" state="hidden" r:id="rId13"/>
    <sheet name="Sheet3" sheetId="7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5" l="1"/>
  <c r="F25" i="15"/>
  <c r="E25" i="15"/>
  <c r="G22" i="15"/>
  <c r="F22" i="15"/>
  <c r="E22" i="15"/>
  <c r="G20" i="15"/>
  <c r="F20" i="15"/>
  <c r="E20" i="15"/>
  <c r="D20" i="15"/>
  <c r="G13" i="15"/>
  <c r="F13" i="15"/>
  <c r="E13" i="15"/>
  <c r="D13" i="15"/>
  <c r="G12" i="15"/>
  <c r="F12" i="15"/>
  <c r="E12" i="15"/>
  <c r="D12" i="15"/>
  <c r="G11" i="15"/>
  <c r="F11" i="15"/>
  <c r="E11" i="15"/>
  <c r="D11" i="15"/>
  <c r="G10" i="15"/>
  <c r="F10" i="15"/>
  <c r="E10" i="15"/>
  <c r="D10" i="15"/>
  <c r="G9" i="15"/>
  <c r="F9" i="15"/>
  <c r="E9" i="15"/>
  <c r="D9" i="15"/>
  <c r="G8" i="15"/>
  <c r="F8" i="15"/>
  <c r="E8" i="15"/>
  <c r="D8" i="15"/>
  <c r="G7" i="15"/>
  <c r="F7" i="15"/>
  <c r="E7" i="15"/>
  <c r="D7" i="15"/>
  <c r="P13" i="9"/>
  <c r="O13" i="9"/>
  <c r="N13" i="9"/>
  <c r="M13" i="9"/>
  <c r="L13" i="9"/>
  <c r="K13" i="9"/>
  <c r="J13" i="9"/>
  <c r="I13" i="9"/>
  <c r="P12" i="9"/>
  <c r="O12" i="9"/>
  <c r="N12" i="9"/>
  <c r="M12" i="9"/>
  <c r="BA12" i="9" s="1"/>
  <c r="L12" i="9"/>
  <c r="K12" i="9"/>
  <c r="J12" i="9"/>
  <c r="I12" i="9"/>
  <c r="P11" i="9"/>
  <c r="O11" i="9"/>
  <c r="BC11" i="9" s="1"/>
  <c r="N11" i="9"/>
  <c r="M11" i="9"/>
  <c r="BA11" i="9" s="1"/>
  <c r="L11" i="9"/>
  <c r="K11" i="9"/>
  <c r="J11" i="9"/>
  <c r="I11" i="9"/>
  <c r="P10" i="9"/>
  <c r="O10" i="9"/>
  <c r="N10" i="9"/>
  <c r="M10" i="9"/>
  <c r="L10" i="9"/>
  <c r="K10" i="9"/>
  <c r="J10" i="9"/>
  <c r="I10" i="9"/>
  <c r="P9" i="9"/>
  <c r="O9" i="9"/>
  <c r="BC9" i="9" s="1"/>
  <c r="N9" i="9"/>
  <c r="M9" i="9"/>
  <c r="L9" i="9"/>
  <c r="K9" i="9"/>
  <c r="J9" i="9"/>
  <c r="I9" i="9"/>
  <c r="AF13" i="9"/>
  <c r="AE13" i="9"/>
  <c r="AD13" i="9"/>
  <c r="AC13" i="9"/>
  <c r="AW13" i="9" s="1"/>
  <c r="AF12" i="9"/>
  <c r="AE12" i="9"/>
  <c r="AD12" i="9"/>
  <c r="AC12" i="9"/>
  <c r="AW12" i="9" s="1"/>
  <c r="AF11" i="9"/>
  <c r="AE11" i="9"/>
  <c r="AD11" i="9"/>
  <c r="AC11" i="9"/>
  <c r="AW11" i="9" s="1"/>
  <c r="AF10" i="9"/>
  <c r="AE10" i="9"/>
  <c r="AD10" i="9"/>
  <c r="AC10" i="9"/>
  <c r="AW10" i="9" s="1"/>
  <c r="AF9" i="9"/>
  <c r="AE9" i="9"/>
  <c r="AD9" i="9"/>
  <c r="AC9" i="9"/>
  <c r="AW9" i="9" s="1"/>
  <c r="AI13" i="9"/>
  <c r="AH13" i="9"/>
  <c r="AG13" i="9"/>
  <c r="AI12" i="9"/>
  <c r="AH12" i="9"/>
  <c r="AG12" i="9"/>
  <c r="AI11" i="9"/>
  <c r="AH11" i="9"/>
  <c r="BB11" i="9" s="1"/>
  <c r="AG11" i="9"/>
  <c r="AI10" i="9"/>
  <c r="AH10" i="9"/>
  <c r="BB10" i="9" s="1"/>
  <c r="AG10" i="9"/>
  <c r="BA10" i="9" s="1"/>
  <c r="AI9" i="9"/>
  <c r="AH9" i="9"/>
  <c r="BB9" i="9" s="1"/>
  <c r="AG9" i="9"/>
  <c r="AJ13" i="9"/>
  <c r="BD13" i="9" s="1"/>
  <c r="AJ12" i="9"/>
  <c r="AJ11" i="9"/>
  <c r="AJ10" i="9"/>
  <c r="AJ9" i="9"/>
  <c r="BD9" i="9" s="1"/>
  <c r="Q9" i="9"/>
  <c r="R9" i="9"/>
  <c r="S9" i="9"/>
  <c r="U9" i="9"/>
  <c r="V9" i="9"/>
  <c r="W9" i="9"/>
  <c r="Y9" i="9"/>
  <c r="Z9" i="9"/>
  <c r="AA9" i="9"/>
  <c r="AB9" i="9"/>
  <c r="AX9" i="9"/>
  <c r="AD59" i="5"/>
  <c r="AD18" i="5"/>
  <c r="AC18" i="5"/>
  <c r="AB18" i="5"/>
  <c r="AA18" i="5"/>
  <c r="Z18" i="5"/>
  <c r="Y18" i="5"/>
  <c r="X18" i="5"/>
  <c r="W18" i="5"/>
  <c r="AD29" i="5"/>
  <c r="AC29" i="5"/>
  <c r="AB29" i="5"/>
  <c r="AA29" i="5"/>
  <c r="Z29" i="5"/>
  <c r="Y29" i="5"/>
  <c r="X29" i="5"/>
  <c r="W29" i="5"/>
  <c r="AD42" i="5"/>
  <c r="AC42" i="5"/>
  <c r="AB42" i="5"/>
  <c r="AA42" i="5"/>
  <c r="Z42" i="5"/>
  <c r="Y42" i="5"/>
  <c r="X42" i="5"/>
  <c r="W42" i="5"/>
  <c r="AD49" i="5"/>
  <c r="AC49" i="5"/>
  <c r="AB49" i="5"/>
  <c r="AA49" i="5"/>
  <c r="Z49" i="5"/>
  <c r="Y49" i="5"/>
  <c r="X49" i="5"/>
  <c r="W49" i="5"/>
  <c r="AC59" i="5"/>
  <c r="AB59" i="5"/>
  <c r="AA59" i="5"/>
  <c r="Z59" i="5"/>
  <c r="Y59" i="5"/>
  <c r="X59" i="5"/>
  <c r="W59" i="5"/>
  <c r="F59" i="5"/>
  <c r="E59" i="5"/>
  <c r="D59" i="5"/>
  <c r="C59" i="5"/>
  <c r="F49" i="5"/>
  <c r="E49" i="5"/>
  <c r="D49" i="5"/>
  <c r="C49" i="5"/>
  <c r="F42" i="5"/>
  <c r="E42" i="5"/>
  <c r="D42" i="5"/>
  <c r="C42" i="5"/>
  <c r="E29" i="5"/>
  <c r="D29" i="5"/>
  <c r="C29" i="5"/>
  <c r="J59" i="5"/>
  <c r="I59" i="5"/>
  <c r="H59" i="5"/>
  <c r="G59" i="5"/>
  <c r="J49" i="5"/>
  <c r="I49" i="5"/>
  <c r="H49" i="5"/>
  <c r="G49" i="5"/>
  <c r="J42" i="5"/>
  <c r="I42" i="5"/>
  <c r="H42" i="5"/>
  <c r="G42" i="5"/>
  <c r="I29" i="5"/>
  <c r="H29" i="5"/>
  <c r="G29" i="5"/>
  <c r="J29" i="5"/>
  <c r="X58" i="6"/>
  <c r="K14" i="5"/>
  <c r="BD34" i="9"/>
  <c r="BC34" i="9"/>
  <c r="BB34" i="9"/>
  <c r="BA34" i="9"/>
  <c r="AZ34" i="9"/>
  <c r="AY34" i="9"/>
  <c r="AX34" i="9"/>
  <c r="AW34" i="9"/>
  <c r="BD33" i="9"/>
  <c r="BC33" i="9"/>
  <c r="BB33" i="9"/>
  <c r="BA33" i="9"/>
  <c r="AZ33" i="9"/>
  <c r="AY33" i="9"/>
  <c r="AX33" i="9"/>
  <c r="AW33" i="9"/>
  <c r="BD32" i="9"/>
  <c r="BC32" i="9"/>
  <c r="BB32" i="9"/>
  <c r="BA32" i="9"/>
  <c r="AZ32" i="9"/>
  <c r="AY32" i="9"/>
  <c r="AX32" i="9"/>
  <c r="AW32" i="9"/>
  <c r="BD31" i="9"/>
  <c r="BC31" i="9"/>
  <c r="BB31" i="9"/>
  <c r="BA31" i="9"/>
  <c r="AZ31" i="9"/>
  <c r="AY31" i="9"/>
  <c r="AX31" i="9"/>
  <c r="AW31" i="9"/>
  <c r="BD30" i="9"/>
  <c r="BC30" i="9"/>
  <c r="BB30" i="9"/>
  <c r="BA30" i="9"/>
  <c r="AZ30" i="9"/>
  <c r="AY30" i="9"/>
  <c r="AX30" i="9"/>
  <c r="AW30" i="9"/>
  <c r="BD29" i="9"/>
  <c r="BC29" i="9"/>
  <c r="BB29" i="9"/>
  <c r="BA29" i="9"/>
  <c r="AZ29" i="9"/>
  <c r="AY29" i="9"/>
  <c r="AX29" i="9"/>
  <c r="AW29" i="9"/>
  <c r="BD28" i="9"/>
  <c r="BC28" i="9"/>
  <c r="BB28" i="9"/>
  <c r="BA28" i="9"/>
  <c r="AZ28" i="9"/>
  <c r="AY28" i="9"/>
  <c r="AX28" i="9"/>
  <c r="AW28" i="9"/>
  <c r="BD27" i="9"/>
  <c r="BC27" i="9"/>
  <c r="BB27" i="9"/>
  <c r="BA27" i="9"/>
  <c r="AZ27" i="9"/>
  <c r="AY27" i="9"/>
  <c r="AX27" i="9"/>
  <c r="AW27" i="9"/>
  <c r="BD26" i="9"/>
  <c r="BC26" i="9"/>
  <c r="BB26" i="9"/>
  <c r="BA26" i="9"/>
  <c r="AZ26" i="9"/>
  <c r="AY26" i="9"/>
  <c r="AX26" i="9"/>
  <c r="AW26" i="9"/>
  <c r="BD25" i="9"/>
  <c r="BC25" i="9"/>
  <c r="BB25" i="9"/>
  <c r="BA25" i="9"/>
  <c r="AZ25" i="9"/>
  <c r="AY25" i="9"/>
  <c r="AX25" i="9"/>
  <c r="AW25" i="9"/>
  <c r="BA24" i="9"/>
  <c r="BD23" i="9"/>
  <c r="BC23" i="9"/>
  <c r="BB23" i="9"/>
  <c r="BA23" i="9"/>
  <c r="AZ23" i="9"/>
  <c r="AY23" i="9"/>
  <c r="AX23" i="9"/>
  <c r="AW23" i="9"/>
  <c r="BD22" i="9"/>
  <c r="BC22" i="9"/>
  <c r="BB22" i="9"/>
  <c r="BA22" i="9"/>
  <c r="AZ22" i="9"/>
  <c r="AY22" i="9"/>
  <c r="AX22" i="9"/>
  <c r="AW22" i="9"/>
  <c r="BD21" i="9"/>
  <c r="BC21" i="9"/>
  <c r="BB21" i="9"/>
  <c r="BA21" i="9"/>
  <c r="AZ21" i="9"/>
  <c r="AY21" i="9"/>
  <c r="AX21" i="9"/>
  <c r="AW21" i="9"/>
  <c r="BD20" i="9"/>
  <c r="BC20" i="9"/>
  <c r="BB20" i="9"/>
  <c r="BA20" i="9"/>
  <c r="AZ20" i="9"/>
  <c r="AY20" i="9"/>
  <c r="AX20" i="9"/>
  <c r="AW20" i="9"/>
  <c r="BD19" i="9"/>
  <c r="BC19" i="9"/>
  <c r="BB19" i="9"/>
  <c r="BA19" i="9"/>
  <c r="AZ19" i="9"/>
  <c r="AY19" i="9"/>
  <c r="AX19" i="9"/>
  <c r="AW19" i="9"/>
  <c r="BD18" i="9"/>
  <c r="BC18" i="9"/>
  <c r="BB18" i="9"/>
  <c r="BA18" i="9"/>
  <c r="AZ18" i="9"/>
  <c r="AY18" i="9"/>
  <c r="AX18" i="9"/>
  <c r="AW18" i="9"/>
  <c r="BD17" i="9"/>
  <c r="BC17" i="9"/>
  <c r="BB17" i="9"/>
  <c r="BA17" i="9"/>
  <c r="AZ17" i="9"/>
  <c r="AY17" i="9"/>
  <c r="AX17" i="9"/>
  <c r="AW17" i="9"/>
  <c r="BD16" i="9"/>
  <c r="BC16" i="9"/>
  <c r="BB16" i="9"/>
  <c r="BA16" i="9"/>
  <c r="AZ16" i="9"/>
  <c r="AY16" i="9"/>
  <c r="AX16" i="9"/>
  <c r="AW16" i="9"/>
  <c r="BD15" i="9"/>
  <c r="BC15" i="9"/>
  <c r="BB15" i="9"/>
  <c r="BA15" i="9"/>
  <c r="AZ15" i="9"/>
  <c r="AY15" i="9"/>
  <c r="AX15" i="9"/>
  <c r="AW15" i="9"/>
  <c r="BD14" i="9"/>
  <c r="BC14" i="9"/>
  <c r="BB14" i="9"/>
  <c r="BA14" i="9"/>
  <c r="AZ14" i="9"/>
  <c r="AY14" i="9"/>
  <c r="AX14" i="9"/>
  <c r="AW14" i="9"/>
  <c r="BB13" i="9"/>
  <c r="AZ13" i="9"/>
  <c r="AX13" i="9"/>
  <c r="BD12" i="9"/>
  <c r="BC12" i="9"/>
  <c r="BB12" i="9"/>
  <c r="AZ12" i="9"/>
  <c r="AY12" i="9"/>
  <c r="AX12" i="9"/>
  <c r="BD11" i="9"/>
  <c r="AZ11" i="9"/>
  <c r="AX11" i="9"/>
  <c r="BD10" i="9"/>
  <c r="AZ10" i="9"/>
  <c r="AY10" i="9"/>
  <c r="AX10" i="9"/>
  <c r="AZ9" i="9"/>
  <c r="BD8" i="9"/>
  <c r="BC8" i="9"/>
  <c r="BB8" i="9"/>
  <c r="BA8" i="9"/>
  <c r="AZ8" i="9"/>
  <c r="AY8" i="9"/>
  <c r="AX8" i="9"/>
  <c r="AW8" i="9"/>
  <c r="BD7" i="9"/>
  <c r="BC7" i="9"/>
  <c r="BB7" i="9"/>
  <c r="BA7" i="9"/>
  <c r="AZ7" i="9"/>
  <c r="AY7" i="9"/>
  <c r="AX7" i="9"/>
  <c r="AW7" i="9"/>
  <c r="BD6" i="9"/>
  <c r="BC6" i="9"/>
  <c r="BB6" i="9"/>
  <c r="BA6" i="9"/>
  <c r="AZ6" i="9"/>
  <c r="AY6" i="9"/>
  <c r="AX6" i="9"/>
  <c r="AW6" i="9"/>
  <c r="BC5" i="9"/>
  <c r="BB5" i="9"/>
  <c r="BA5" i="9"/>
  <c r="AZ5" i="9"/>
  <c r="AY5" i="9"/>
  <c r="AX5" i="9"/>
  <c r="AW5" i="9"/>
  <c r="BD5" i="9"/>
  <c r="BE5" i="9"/>
  <c r="AI24" i="9"/>
  <c r="O24" i="9" s="1"/>
  <c r="AH24" i="9"/>
  <c r="N24" i="9" s="1"/>
  <c r="P24" i="9"/>
  <c r="BD24" i="9" s="1"/>
  <c r="L24" i="9"/>
  <c r="AZ24" i="9" s="1"/>
  <c r="K24" i="9"/>
  <c r="AY24" i="9" s="1"/>
  <c r="J24" i="9"/>
  <c r="AX24" i="9" s="1"/>
  <c r="I24" i="9"/>
  <c r="AW24" i="9" s="1"/>
  <c r="D14" i="13"/>
  <c r="U11" i="11"/>
  <c r="T11" i="11"/>
  <c r="T10" i="11"/>
  <c r="T9" i="11"/>
  <c r="V59" i="13"/>
  <c r="V12" i="11" s="1"/>
  <c r="U59" i="13"/>
  <c r="U12" i="11" s="1"/>
  <c r="T59" i="13"/>
  <c r="T12" i="11" s="1"/>
  <c r="S59" i="13"/>
  <c r="S12" i="11" s="1"/>
  <c r="V49" i="13"/>
  <c r="V11" i="11" s="1"/>
  <c r="U49" i="13"/>
  <c r="T49" i="13"/>
  <c r="S49" i="13"/>
  <c r="S11" i="11" s="1"/>
  <c r="V42" i="13"/>
  <c r="V10" i="11" s="1"/>
  <c r="U42" i="13"/>
  <c r="U10" i="11" s="1"/>
  <c r="T42" i="13"/>
  <c r="S42" i="13"/>
  <c r="S10" i="11" s="1"/>
  <c r="V29" i="13"/>
  <c r="V9" i="11" s="1"/>
  <c r="U29" i="13"/>
  <c r="U9" i="11" s="1"/>
  <c r="T29" i="13"/>
  <c r="S29" i="13"/>
  <c r="S9" i="11" s="1"/>
  <c r="BA9" i="9" l="1"/>
  <c r="BA13" i="9"/>
  <c r="AY9" i="9"/>
  <c r="BC10" i="9"/>
  <c r="AY11" i="9"/>
  <c r="AY13" i="9"/>
  <c r="BC13" i="9"/>
  <c r="AX35" i="9"/>
  <c r="BA35" i="9"/>
  <c r="BD35" i="9"/>
  <c r="AZ35" i="9"/>
  <c r="AY35" i="9"/>
  <c r="AW35" i="9"/>
  <c r="BB24" i="9"/>
  <c r="BB35" i="9" s="1"/>
  <c r="BC24" i="9"/>
  <c r="BC35" i="9" s="1"/>
  <c r="F18" i="5"/>
  <c r="J18" i="5"/>
  <c r="I18" i="5"/>
  <c r="H18" i="5"/>
  <c r="G18" i="5"/>
  <c r="F29" i="5"/>
  <c r="U17" i="13"/>
  <c r="U16" i="13"/>
  <c r="U15" i="13"/>
  <c r="U14" i="13"/>
  <c r="T17" i="13"/>
  <c r="T16" i="13"/>
  <c r="T15" i="13"/>
  <c r="T14" i="13"/>
  <c r="S17" i="13"/>
  <c r="S16" i="13"/>
  <c r="V16" i="13"/>
  <c r="S15" i="13"/>
  <c r="S14" i="13"/>
  <c r="Q17" i="13"/>
  <c r="Q16" i="13"/>
  <c r="Q15" i="13"/>
  <c r="Q14" i="13"/>
  <c r="P17" i="13"/>
  <c r="P16" i="13"/>
  <c r="P18" i="13" s="1"/>
  <c r="P8" i="11" s="1"/>
  <c r="BD8" i="11" s="1"/>
  <c r="P15" i="13"/>
  <c r="P14" i="13"/>
  <c r="V17" i="13"/>
  <c r="V15" i="13"/>
  <c r="V14" i="13"/>
  <c r="V18" i="13" s="1"/>
  <c r="V8" i="11" s="1"/>
  <c r="BJ8" i="11" s="1"/>
  <c r="O17" i="13"/>
  <c r="O16" i="13"/>
  <c r="O15" i="13"/>
  <c r="O14" i="13"/>
  <c r="M17" i="13"/>
  <c r="M16" i="13"/>
  <c r="M15" i="13"/>
  <c r="M14" i="13"/>
  <c r="L17" i="13"/>
  <c r="L16" i="13"/>
  <c r="L15" i="13"/>
  <c r="L14" i="13"/>
  <c r="R17" i="13"/>
  <c r="R16" i="13"/>
  <c r="R15" i="13"/>
  <c r="R14" i="13"/>
  <c r="K17" i="13"/>
  <c r="K16" i="13"/>
  <c r="K15" i="13"/>
  <c r="K14" i="13"/>
  <c r="I16" i="13"/>
  <c r="I15" i="13"/>
  <c r="I14" i="13"/>
  <c r="H17" i="13"/>
  <c r="H16" i="13"/>
  <c r="H15" i="13"/>
  <c r="H14" i="13"/>
  <c r="N17" i="13"/>
  <c r="N15" i="13"/>
  <c r="N16" i="13"/>
  <c r="N14" i="13"/>
  <c r="N18" i="13" s="1"/>
  <c r="N8" i="11" s="1"/>
  <c r="BB8" i="11" s="1"/>
  <c r="G17" i="13"/>
  <c r="G16" i="13"/>
  <c r="G15" i="13"/>
  <c r="G14" i="13"/>
  <c r="E17" i="13"/>
  <c r="E16" i="13"/>
  <c r="E15" i="13"/>
  <c r="E14" i="13"/>
  <c r="D17" i="13"/>
  <c r="D16" i="13"/>
  <c r="D15" i="13"/>
  <c r="J17" i="13"/>
  <c r="J15" i="13"/>
  <c r="J16" i="13"/>
  <c r="J14" i="13"/>
  <c r="C17" i="13"/>
  <c r="C16" i="13"/>
  <c r="C14" i="13"/>
  <c r="C15" i="13"/>
  <c r="F59" i="13"/>
  <c r="F12" i="11" s="1"/>
  <c r="F49" i="13"/>
  <c r="F11" i="11" s="1"/>
  <c r="F42" i="13"/>
  <c r="F10" i="11" s="1"/>
  <c r="F29" i="13"/>
  <c r="F9" i="11" s="1"/>
  <c r="F15" i="13"/>
  <c r="F14" i="13"/>
  <c r="AP59" i="13"/>
  <c r="AP12" i="11" s="1"/>
  <c r="AO59" i="13"/>
  <c r="AO12" i="11" s="1"/>
  <c r="AN59" i="13"/>
  <c r="AN12" i="11" s="1"/>
  <c r="AM59" i="13"/>
  <c r="AM12" i="11" s="1"/>
  <c r="AP49" i="13"/>
  <c r="AP11" i="11" s="1"/>
  <c r="AO49" i="13"/>
  <c r="AO11" i="11" s="1"/>
  <c r="AN49" i="13"/>
  <c r="AN11" i="11" s="1"/>
  <c r="AM49" i="13"/>
  <c r="AM11" i="11" s="1"/>
  <c r="AP42" i="13"/>
  <c r="AP10" i="11" s="1"/>
  <c r="AO42" i="13"/>
  <c r="AO10" i="11" s="1"/>
  <c r="AN42" i="13"/>
  <c r="AN10" i="11" s="1"/>
  <c r="AM42" i="13"/>
  <c r="AM10" i="11" s="1"/>
  <c r="AP29" i="13"/>
  <c r="AP9" i="11" s="1"/>
  <c r="AO29" i="13"/>
  <c r="AO9" i="11" s="1"/>
  <c r="AN29" i="13"/>
  <c r="AN9" i="11" s="1"/>
  <c r="AM29" i="13"/>
  <c r="AM9" i="11" s="1"/>
  <c r="AP18" i="13"/>
  <c r="AP8" i="11" s="1"/>
  <c r="AO18" i="13"/>
  <c r="AO8" i="11" s="1"/>
  <c r="AN18" i="13"/>
  <c r="AN8" i="11" s="1"/>
  <c r="AM18" i="13"/>
  <c r="AM8" i="11" s="1"/>
  <c r="AL59" i="13"/>
  <c r="AL12" i="11" s="1"/>
  <c r="AK59" i="13"/>
  <c r="AK12" i="11" s="1"/>
  <c r="AJ59" i="13"/>
  <c r="AJ12" i="11" s="1"/>
  <c r="AI59" i="13"/>
  <c r="AI12" i="11" s="1"/>
  <c r="AH59" i="13"/>
  <c r="AH12" i="11" s="1"/>
  <c r="AG59" i="13"/>
  <c r="AG12" i="11" s="1"/>
  <c r="AF59" i="13"/>
  <c r="AF12" i="11" s="1"/>
  <c r="AE59" i="13"/>
  <c r="AE12" i="11" s="1"/>
  <c r="AD59" i="13"/>
  <c r="AD12" i="11" s="1"/>
  <c r="AC59" i="13"/>
  <c r="AC12" i="11" s="1"/>
  <c r="AB59" i="13"/>
  <c r="AB12" i="11" s="1"/>
  <c r="AA59" i="13"/>
  <c r="AA12" i="11" s="1"/>
  <c r="Z59" i="13"/>
  <c r="Z12" i="11" s="1"/>
  <c r="Y59" i="13"/>
  <c r="Y12" i="11" s="1"/>
  <c r="X59" i="13"/>
  <c r="X12" i="11" s="1"/>
  <c r="W59" i="13"/>
  <c r="W12" i="11" s="1"/>
  <c r="R59" i="13"/>
  <c r="R12" i="11" s="1"/>
  <c r="Q59" i="13"/>
  <c r="Q12" i="11" s="1"/>
  <c r="P59" i="13"/>
  <c r="P12" i="11" s="1"/>
  <c r="O59" i="13"/>
  <c r="O12" i="11" s="1"/>
  <c r="N59" i="13"/>
  <c r="N12" i="11" s="1"/>
  <c r="M59" i="13"/>
  <c r="M12" i="11" s="1"/>
  <c r="L59" i="13"/>
  <c r="L12" i="11" s="1"/>
  <c r="K59" i="13"/>
  <c r="K12" i="11" s="1"/>
  <c r="J59" i="13"/>
  <c r="J12" i="11" s="1"/>
  <c r="I59" i="13"/>
  <c r="I12" i="11" s="1"/>
  <c r="H59" i="13"/>
  <c r="H12" i="11" s="1"/>
  <c r="G59" i="13"/>
  <c r="G12" i="11" s="1"/>
  <c r="E59" i="13"/>
  <c r="E12" i="11" s="1"/>
  <c r="D59" i="13"/>
  <c r="D12" i="11" s="1"/>
  <c r="C59" i="13"/>
  <c r="C12" i="11" s="1"/>
  <c r="AL49" i="13"/>
  <c r="AL11" i="11" s="1"/>
  <c r="AK49" i="13"/>
  <c r="AK11" i="11" s="1"/>
  <c r="AJ49" i="13"/>
  <c r="AJ11" i="11" s="1"/>
  <c r="AI49" i="13"/>
  <c r="AI11" i="11" s="1"/>
  <c r="AH49" i="13"/>
  <c r="AH11" i="11" s="1"/>
  <c r="AG49" i="13"/>
  <c r="AG11" i="11" s="1"/>
  <c r="AF49" i="13"/>
  <c r="AF11" i="11" s="1"/>
  <c r="AE49" i="13"/>
  <c r="AE11" i="11" s="1"/>
  <c r="AD49" i="13"/>
  <c r="AD11" i="11" s="1"/>
  <c r="AC49" i="13"/>
  <c r="AC11" i="11" s="1"/>
  <c r="AB49" i="13"/>
  <c r="AB11" i="11" s="1"/>
  <c r="AA49" i="13"/>
  <c r="AA11" i="11" s="1"/>
  <c r="Z49" i="13"/>
  <c r="Z11" i="11" s="1"/>
  <c r="Y49" i="13"/>
  <c r="Y11" i="11" s="1"/>
  <c r="X49" i="13"/>
  <c r="X11" i="11" s="1"/>
  <c r="W49" i="13"/>
  <c r="W11" i="11" s="1"/>
  <c r="R49" i="13"/>
  <c r="R11" i="11" s="1"/>
  <c r="Q49" i="13"/>
  <c r="Q11" i="11" s="1"/>
  <c r="P49" i="13"/>
  <c r="P11" i="11" s="1"/>
  <c r="O49" i="13"/>
  <c r="O11" i="11" s="1"/>
  <c r="N49" i="13"/>
  <c r="N11" i="11" s="1"/>
  <c r="M49" i="13"/>
  <c r="M11" i="11" s="1"/>
  <c r="L49" i="13"/>
  <c r="L11" i="11" s="1"/>
  <c r="K49" i="13"/>
  <c r="K11" i="11" s="1"/>
  <c r="J49" i="13"/>
  <c r="J11" i="11" s="1"/>
  <c r="I49" i="13"/>
  <c r="I11" i="11" s="1"/>
  <c r="H49" i="13"/>
  <c r="H11" i="11" s="1"/>
  <c r="G49" i="13"/>
  <c r="G11" i="11" s="1"/>
  <c r="E49" i="13"/>
  <c r="E11" i="11" s="1"/>
  <c r="D49" i="13"/>
  <c r="D11" i="11" s="1"/>
  <c r="C49" i="13"/>
  <c r="C11" i="11" s="1"/>
  <c r="AL42" i="13"/>
  <c r="AL10" i="11" s="1"/>
  <c r="AK42" i="13"/>
  <c r="AK10" i="11" s="1"/>
  <c r="AJ42" i="13"/>
  <c r="AJ10" i="11" s="1"/>
  <c r="AI42" i="13"/>
  <c r="AI10" i="11" s="1"/>
  <c r="AH42" i="13"/>
  <c r="AH10" i="11" s="1"/>
  <c r="AG42" i="13"/>
  <c r="AG10" i="11" s="1"/>
  <c r="AF42" i="13"/>
  <c r="AF10" i="11" s="1"/>
  <c r="AE42" i="13"/>
  <c r="AE10" i="11" s="1"/>
  <c r="AD42" i="13"/>
  <c r="AD10" i="11" s="1"/>
  <c r="AC42" i="13"/>
  <c r="AC10" i="11" s="1"/>
  <c r="AB42" i="13"/>
  <c r="AB10" i="11" s="1"/>
  <c r="AA42" i="13"/>
  <c r="AA10" i="11" s="1"/>
  <c r="Z42" i="13"/>
  <c r="Z10" i="11" s="1"/>
  <c r="Y42" i="13"/>
  <c r="Y10" i="11" s="1"/>
  <c r="X42" i="13"/>
  <c r="X10" i="11" s="1"/>
  <c r="W42" i="13"/>
  <c r="W10" i="11" s="1"/>
  <c r="R42" i="13"/>
  <c r="R10" i="11" s="1"/>
  <c r="Q42" i="13"/>
  <c r="Q10" i="11" s="1"/>
  <c r="P42" i="13"/>
  <c r="P10" i="11" s="1"/>
  <c r="O42" i="13"/>
  <c r="O10" i="11" s="1"/>
  <c r="N42" i="13"/>
  <c r="N10" i="11" s="1"/>
  <c r="M42" i="13"/>
  <c r="M10" i="11" s="1"/>
  <c r="L42" i="13"/>
  <c r="L10" i="11" s="1"/>
  <c r="K42" i="13"/>
  <c r="K10" i="11" s="1"/>
  <c r="J42" i="13"/>
  <c r="J10" i="11" s="1"/>
  <c r="I42" i="13"/>
  <c r="I10" i="11" s="1"/>
  <c r="H42" i="13"/>
  <c r="H10" i="11" s="1"/>
  <c r="G42" i="13"/>
  <c r="G10" i="11" s="1"/>
  <c r="E42" i="13"/>
  <c r="E10" i="11" s="1"/>
  <c r="D42" i="13"/>
  <c r="D10" i="11" s="1"/>
  <c r="C42" i="13"/>
  <c r="C10" i="11" s="1"/>
  <c r="AL29" i="13"/>
  <c r="AL9" i="11" s="1"/>
  <c r="AK29" i="13"/>
  <c r="AK9" i="11" s="1"/>
  <c r="AJ29" i="13"/>
  <c r="AJ9" i="11" s="1"/>
  <c r="AI29" i="13"/>
  <c r="AI9" i="11" s="1"/>
  <c r="AH29" i="13"/>
  <c r="AH9" i="11" s="1"/>
  <c r="AG29" i="13"/>
  <c r="AG9" i="11" s="1"/>
  <c r="AF29" i="13"/>
  <c r="AF9" i="11" s="1"/>
  <c r="AE29" i="13"/>
  <c r="AE9" i="11" s="1"/>
  <c r="AD29" i="13"/>
  <c r="AD9" i="11" s="1"/>
  <c r="AC29" i="13"/>
  <c r="AC9" i="11" s="1"/>
  <c r="AB29" i="13"/>
  <c r="AB9" i="11" s="1"/>
  <c r="AA29" i="13"/>
  <c r="AA9" i="11" s="1"/>
  <c r="Z29" i="13"/>
  <c r="Z9" i="11" s="1"/>
  <c r="Y29" i="13"/>
  <c r="Y9" i="11" s="1"/>
  <c r="X29" i="13"/>
  <c r="X9" i="11" s="1"/>
  <c r="W29" i="13"/>
  <c r="W9" i="11" s="1"/>
  <c r="R29" i="13"/>
  <c r="R9" i="11" s="1"/>
  <c r="Q29" i="13"/>
  <c r="Q9" i="11" s="1"/>
  <c r="P29" i="13"/>
  <c r="P9" i="11" s="1"/>
  <c r="O29" i="13"/>
  <c r="O9" i="11" s="1"/>
  <c r="N29" i="13"/>
  <c r="N9" i="11" s="1"/>
  <c r="M29" i="13"/>
  <c r="M9" i="11" s="1"/>
  <c r="L29" i="13"/>
  <c r="L9" i="11" s="1"/>
  <c r="K29" i="13"/>
  <c r="K9" i="11" s="1"/>
  <c r="I29" i="13"/>
  <c r="I9" i="11" s="1"/>
  <c r="H29" i="13"/>
  <c r="H9" i="11" s="1"/>
  <c r="G29" i="13"/>
  <c r="G9" i="11" s="1"/>
  <c r="E29" i="13"/>
  <c r="E9" i="11" s="1"/>
  <c r="D29" i="13"/>
  <c r="D9" i="11" s="1"/>
  <c r="C29" i="13"/>
  <c r="C9" i="11" s="1"/>
  <c r="J29" i="13"/>
  <c r="J9" i="11" s="1"/>
  <c r="AL18" i="13"/>
  <c r="AL8" i="11" s="1"/>
  <c r="AK18" i="13"/>
  <c r="AK8" i="11" s="1"/>
  <c r="AJ18" i="13"/>
  <c r="AJ8" i="11" s="1"/>
  <c r="AI18" i="13"/>
  <c r="AI8" i="11" s="1"/>
  <c r="AH18" i="13"/>
  <c r="AH8" i="11" s="1"/>
  <c r="AG18" i="13"/>
  <c r="AG8" i="11" s="1"/>
  <c r="AF18" i="13"/>
  <c r="AF8" i="11" s="1"/>
  <c r="AE18" i="13"/>
  <c r="AE8" i="11" s="1"/>
  <c r="AC18" i="13"/>
  <c r="AC8" i="11" s="1"/>
  <c r="AB18" i="13"/>
  <c r="AB8" i="11" s="1"/>
  <c r="AA18" i="13"/>
  <c r="AA8" i="11" s="1"/>
  <c r="Z18" i="13"/>
  <c r="Z8" i="11" s="1"/>
  <c r="Y18" i="13"/>
  <c r="Y8" i="11" s="1"/>
  <c r="X18" i="13"/>
  <c r="X8" i="11" s="1"/>
  <c r="W18" i="13"/>
  <c r="W8" i="11" s="1"/>
  <c r="O18" i="13"/>
  <c r="O8" i="11" s="1"/>
  <c r="I18" i="13"/>
  <c r="I8" i="11" s="1"/>
  <c r="AD18" i="13"/>
  <c r="AD8" i="11" s="1"/>
  <c r="F6" i="13"/>
  <c r="E6" i="13"/>
  <c r="D6" i="13"/>
  <c r="C6" i="13"/>
  <c r="H28" i="11"/>
  <c r="Z28" i="11"/>
  <c r="F28" i="11"/>
  <c r="Z24" i="11"/>
  <c r="F24" i="11"/>
  <c r="E24" i="11"/>
  <c r="D24" i="11"/>
  <c r="AR24" i="11" s="1"/>
  <c r="C24" i="11"/>
  <c r="E29" i="11"/>
  <c r="D29" i="11"/>
  <c r="AR29" i="11" s="1"/>
  <c r="C29" i="11"/>
  <c r="AQ29" i="11" s="1"/>
  <c r="I29" i="11"/>
  <c r="J29" i="11"/>
  <c r="N29" i="11"/>
  <c r="BB29" i="11" s="1"/>
  <c r="M29" i="11"/>
  <c r="H29" i="11"/>
  <c r="G29" i="11"/>
  <c r="L29" i="11"/>
  <c r="K29" i="11"/>
  <c r="R29" i="11"/>
  <c r="BF29" i="11" s="1"/>
  <c r="E22" i="11"/>
  <c r="C22" i="11"/>
  <c r="AQ22" i="11" s="1"/>
  <c r="D22" i="11"/>
  <c r="J22" i="11"/>
  <c r="I22" i="11"/>
  <c r="H22" i="11"/>
  <c r="G22" i="11"/>
  <c r="N22" i="11"/>
  <c r="M22" i="11"/>
  <c r="K22" i="11"/>
  <c r="AY22" i="11" s="1"/>
  <c r="L22" i="11"/>
  <c r="R22" i="11"/>
  <c r="Q22" i="11"/>
  <c r="P22" i="11"/>
  <c r="O22" i="11"/>
  <c r="V22" i="11"/>
  <c r="BJ22" i="11" s="1"/>
  <c r="U22" i="11"/>
  <c r="BI22" i="11" s="1"/>
  <c r="T22" i="11"/>
  <c r="U13" i="11"/>
  <c r="T13" i="11"/>
  <c r="BH13" i="11" s="1"/>
  <c r="S13" i="11"/>
  <c r="BG21" i="11"/>
  <c r="E20" i="11"/>
  <c r="D20" i="11"/>
  <c r="AR20" i="11" s="1"/>
  <c r="C20" i="11"/>
  <c r="J20" i="11"/>
  <c r="AX20" i="11" s="1"/>
  <c r="I20" i="11"/>
  <c r="H20" i="11"/>
  <c r="AV20" i="11" s="1"/>
  <c r="G20" i="11"/>
  <c r="N20" i="11"/>
  <c r="BB20" i="11" s="1"/>
  <c r="M20" i="11"/>
  <c r="L20" i="11"/>
  <c r="AZ20" i="11" s="1"/>
  <c r="K20" i="11"/>
  <c r="R20" i="11"/>
  <c r="Q20" i="11"/>
  <c r="P20" i="11"/>
  <c r="O20" i="11"/>
  <c r="BC20" i="11"/>
  <c r="V20" i="11"/>
  <c r="T20" i="11"/>
  <c r="BH20" i="11" s="1"/>
  <c r="S20" i="11"/>
  <c r="BG20" i="11" s="1"/>
  <c r="U20" i="11"/>
  <c r="BI20" i="11" s="1"/>
  <c r="I23" i="11"/>
  <c r="H23" i="11"/>
  <c r="AV23" i="11" s="1"/>
  <c r="G23" i="11"/>
  <c r="N23" i="11"/>
  <c r="BB23" i="11" s="1"/>
  <c r="E25" i="11"/>
  <c r="D25" i="11"/>
  <c r="C25" i="11"/>
  <c r="J25" i="11"/>
  <c r="AX25" i="11" s="1"/>
  <c r="I25" i="11"/>
  <c r="H25" i="11"/>
  <c r="AV25" i="11" s="1"/>
  <c r="G25" i="11"/>
  <c r="AU25" i="11" s="1"/>
  <c r="N25" i="11"/>
  <c r="BB25" i="11" s="1"/>
  <c r="M25" i="11"/>
  <c r="BA25" i="11" s="1"/>
  <c r="L25" i="11"/>
  <c r="AZ25" i="11" s="1"/>
  <c r="K25" i="11"/>
  <c r="AY25" i="11" s="1"/>
  <c r="R25" i="11"/>
  <c r="O25" i="11"/>
  <c r="Q25" i="11"/>
  <c r="BE25" i="11" s="1"/>
  <c r="P25" i="11"/>
  <c r="BC25" i="11"/>
  <c r="V25" i="11"/>
  <c r="BJ25" i="11" s="1"/>
  <c r="U25" i="11"/>
  <c r="BI25" i="11" s="1"/>
  <c r="T25" i="11"/>
  <c r="BH25" i="11" s="1"/>
  <c r="BG25" i="11"/>
  <c r="I33" i="11"/>
  <c r="O33" i="11"/>
  <c r="BJ33" i="11"/>
  <c r="BI33" i="11"/>
  <c r="BH33" i="11"/>
  <c r="BG33" i="11"/>
  <c r="BF33" i="11"/>
  <c r="BE33" i="11"/>
  <c r="BD33" i="11"/>
  <c r="BC33" i="11"/>
  <c r="BB33" i="11"/>
  <c r="BA33" i="11"/>
  <c r="AZ33" i="11"/>
  <c r="AY33" i="11"/>
  <c r="AX33" i="11"/>
  <c r="AW33" i="11"/>
  <c r="AV33" i="11"/>
  <c r="AU33" i="11"/>
  <c r="AT33" i="11"/>
  <c r="AS33" i="11"/>
  <c r="AR33" i="11"/>
  <c r="AQ33" i="11"/>
  <c r="BJ32" i="11"/>
  <c r="BI32" i="11"/>
  <c r="BH32" i="11"/>
  <c r="BG32" i="11"/>
  <c r="BF32" i="11"/>
  <c r="BE32" i="11"/>
  <c r="BD32" i="11"/>
  <c r="BC32" i="11"/>
  <c r="BB32" i="11"/>
  <c r="BA32" i="11"/>
  <c r="AZ32" i="11"/>
  <c r="AY32" i="11"/>
  <c r="AX32" i="11"/>
  <c r="AW32" i="11"/>
  <c r="AV32" i="11"/>
  <c r="AU32" i="11"/>
  <c r="AT32" i="11"/>
  <c r="AS32" i="11"/>
  <c r="AR32" i="11"/>
  <c r="AQ32" i="11"/>
  <c r="BJ31" i="1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Q31" i="11"/>
  <c r="BJ30" i="11"/>
  <c r="BI30" i="11"/>
  <c r="BH30" i="11"/>
  <c r="BG30" i="11"/>
  <c r="BF30" i="11"/>
  <c r="BE30" i="11"/>
  <c r="BD30" i="11"/>
  <c r="BC30" i="11"/>
  <c r="BB30" i="11"/>
  <c r="BA30" i="11"/>
  <c r="AZ30" i="11"/>
  <c r="AY30" i="11"/>
  <c r="AX30" i="11"/>
  <c r="AW30" i="11"/>
  <c r="AV30" i="11"/>
  <c r="AU30" i="11"/>
  <c r="AT30" i="11"/>
  <c r="AS30" i="11"/>
  <c r="AR30" i="11"/>
  <c r="AQ30" i="11"/>
  <c r="BJ29" i="11"/>
  <c r="BI29" i="11"/>
  <c r="BH29" i="11"/>
  <c r="BG29" i="11"/>
  <c r="BE29" i="11"/>
  <c r="BD29" i="11"/>
  <c r="BC29" i="11"/>
  <c r="BA29" i="11"/>
  <c r="AZ29" i="11"/>
  <c r="AY29" i="11"/>
  <c r="AX29" i="11"/>
  <c r="AW29" i="11"/>
  <c r="AV29" i="11"/>
  <c r="AU29" i="11"/>
  <c r="AT29" i="11"/>
  <c r="AS29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BJ27" i="11"/>
  <c r="BI27" i="11"/>
  <c r="BH27" i="11"/>
  <c r="BG27" i="11"/>
  <c r="BF27" i="11"/>
  <c r="BE27" i="11"/>
  <c r="BD27" i="11"/>
  <c r="BC27" i="11"/>
  <c r="BB27" i="11"/>
  <c r="BA27" i="11"/>
  <c r="AZ27" i="11"/>
  <c r="AY27" i="11"/>
  <c r="AX27" i="11"/>
  <c r="AW27" i="11"/>
  <c r="AV27" i="11"/>
  <c r="AU27" i="11"/>
  <c r="AT27" i="11"/>
  <c r="AS27" i="11"/>
  <c r="AR27" i="11"/>
  <c r="AQ27" i="11"/>
  <c r="BJ26" i="11"/>
  <c r="BI26" i="11"/>
  <c r="BH2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BF25" i="11"/>
  <c r="BD25" i="11"/>
  <c r="AW25" i="11"/>
  <c r="AT25" i="11"/>
  <c r="AS25" i="11"/>
  <c r="AR25" i="11"/>
  <c r="AQ25" i="11"/>
  <c r="BJ24" i="11"/>
  <c r="BI24" i="11"/>
  <c r="BH24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Q24" i="11"/>
  <c r="BJ23" i="11"/>
  <c r="BI23" i="11"/>
  <c r="BH23" i="11"/>
  <c r="BG23" i="11"/>
  <c r="BF23" i="11"/>
  <c r="BE23" i="11"/>
  <c r="BD23" i="11"/>
  <c r="BC23" i="11"/>
  <c r="BA23" i="11"/>
  <c r="AZ23" i="11"/>
  <c r="AY23" i="11"/>
  <c r="AX23" i="11"/>
  <c r="AW23" i="11"/>
  <c r="AU23" i="11"/>
  <c r="AT23" i="11"/>
  <c r="AS23" i="11"/>
  <c r="AR23" i="11"/>
  <c r="AQ23" i="11"/>
  <c r="BH22" i="11"/>
  <c r="BG22" i="11"/>
  <c r="BF22" i="11"/>
  <c r="BE22" i="11"/>
  <c r="BD22" i="11"/>
  <c r="BC22" i="11"/>
  <c r="BB22" i="11"/>
  <c r="BA22" i="11"/>
  <c r="AZ22" i="11"/>
  <c r="AX22" i="11"/>
  <c r="AW22" i="11"/>
  <c r="AV22" i="11"/>
  <c r="AU22" i="11"/>
  <c r="AT22" i="11"/>
  <c r="AS22" i="11"/>
  <c r="AR22" i="11"/>
  <c r="BJ21" i="11"/>
  <c r="BI21" i="11"/>
  <c r="BH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BJ20" i="11"/>
  <c r="BF20" i="11"/>
  <c r="BE20" i="11"/>
  <c r="BD20" i="11"/>
  <c r="BA20" i="11"/>
  <c r="AY20" i="11"/>
  <c r="AW20" i="11"/>
  <c r="AU20" i="11"/>
  <c r="AT20" i="11"/>
  <c r="AS20" i="11"/>
  <c r="AQ20" i="11"/>
  <c r="BJ19" i="11"/>
  <c r="BI19" i="11"/>
  <c r="BH19" i="11"/>
  <c r="BG19" i="11"/>
  <c r="BF19" i="11"/>
  <c r="BE19" i="11"/>
  <c r="BD19" i="11"/>
  <c r="BC19" i="11"/>
  <c r="BB19" i="11"/>
  <c r="BA19" i="11"/>
  <c r="AZ19" i="11"/>
  <c r="AY19" i="11"/>
  <c r="AX19" i="11"/>
  <c r="AW19" i="11"/>
  <c r="AV19" i="11"/>
  <c r="AU19" i="11"/>
  <c r="AT19" i="11"/>
  <c r="AS19" i="11"/>
  <c r="AR19" i="11"/>
  <c r="AQ19" i="11"/>
  <c r="BJ18" i="11"/>
  <c r="BI18" i="11"/>
  <c r="BH18" i="11"/>
  <c r="BG18" i="11"/>
  <c r="BF18" i="11"/>
  <c r="BE18" i="11"/>
  <c r="BD18" i="11"/>
  <c r="BC18" i="11"/>
  <c r="BB18" i="11"/>
  <c r="BA18" i="11"/>
  <c r="AZ18" i="11"/>
  <c r="AY18" i="11"/>
  <c r="AX18" i="11"/>
  <c r="AW18" i="11"/>
  <c r="AV18" i="11"/>
  <c r="AU18" i="11"/>
  <c r="AT18" i="11"/>
  <c r="AS18" i="11"/>
  <c r="AR18" i="11"/>
  <c r="AQ18" i="11"/>
  <c r="BJ17" i="11"/>
  <c r="BI17" i="11"/>
  <c r="BH17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Q17" i="11"/>
  <c r="BJ16" i="11"/>
  <c r="BI16" i="11"/>
  <c r="BH16" i="11"/>
  <c r="BG16" i="11"/>
  <c r="BF16" i="11"/>
  <c r="BE16" i="11"/>
  <c r="BD16" i="11"/>
  <c r="BC16" i="11"/>
  <c r="BB16" i="11"/>
  <c r="BA16" i="11"/>
  <c r="AZ16" i="11"/>
  <c r="AY16" i="11"/>
  <c r="AX16" i="11"/>
  <c r="AW16" i="11"/>
  <c r="AV16" i="11"/>
  <c r="AU16" i="11"/>
  <c r="AT16" i="11"/>
  <c r="AS16" i="11"/>
  <c r="AR16" i="11"/>
  <c r="AQ16" i="11"/>
  <c r="BJ15" i="11"/>
  <c r="BI15" i="11"/>
  <c r="BH15" i="11"/>
  <c r="BG15" i="11"/>
  <c r="BF15" i="11"/>
  <c r="BE15" i="11"/>
  <c r="BD15" i="11"/>
  <c r="BC15" i="11"/>
  <c r="BB15" i="11"/>
  <c r="BA15" i="11"/>
  <c r="AZ15" i="11"/>
  <c r="AY15" i="11"/>
  <c r="AX15" i="11"/>
  <c r="AW15" i="11"/>
  <c r="AV15" i="11"/>
  <c r="AU15" i="11"/>
  <c r="AT15" i="11"/>
  <c r="AS15" i="11"/>
  <c r="AR15" i="11"/>
  <c r="AQ15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BI13" i="11"/>
  <c r="BG13" i="11"/>
  <c r="AT13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BJ9" i="11"/>
  <c r="BI9" i="11"/>
  <c r="BH9" i="11"/>
  <c r="BG9" i="11"/>
  <c r="BF9" i="11"/>
  <c r="BE9" i="11"/>
  <c r="BD9" i="11"/>
  <c r="BC9" i="11"/>
  <c r="BB9" i="11"/>
  <c r="BA9" i="11"/>
  <c r="AZ9" i="11"/>
  <c r="AY9" i="11"/>
  <c r="AX9" i="11"/>
  <c r="AW9" i="11"/>
  <c r="AV9" i="11"/>
  <c r="AU9" i="11"/>
  <c r="AT9" i="11"/>
  <c r="AS9" i="11"/>
  <c r="AR9" i="11"/>
  <c r="AQ9" i="11"/>
  <c r="BC8" i="11"/>
  <c r="AW8" i="11"/>
  <c r="AT7" i="11"/>
  <c r="BJ6" i="11"/>
  <c r="BI6" i="11"/>
  <c r="BH6" i="11"/>
  <c r="BG6" i="11"/>
  <c r="BF6" i="11"/>
  <c r="BE6" i="11"/>
  <c r="BD6" i="11"/>
  <c r="BC6" i="11"/>
  <c r="BB6" i="11"/>
  <c r="BA6" i="11"/>
  <c r="AZ6" i="11"/>
  <c r="AY6" i="11"/>
  <c r="AX6" i="11"/>
  <c r="AW6" i="11"/>
  <c r="AV6" i="11"/>
  <c r="AU6" i="11"/>
  <c r="AT6" i="11"/>
  <c r="AS6" i="11"/>
  <c r="AR6" i="11"/>
  <c r="AQ6" i="11"/>
  <c r="BJ5" i="11"/>
  <c r="BI5" i="11"/>
  <c r="BH5" i="11"/>
  <c r="BG5" i="11"/>
  <c r="BF5" i="11"/>
  <c r="BE5" i="11"/>
  <c r="BD5" i="11"/>
  <c r="BC5" i="11"/>
  <c r="BB5" i="11"/>
  <c r="BA5" i="11"/>
  <c r="AZ5" i="11"/>
  <c r="AY5" i="11"/>
  <c r="AX5" i="11"/>
  <c r="AW5" i="11"/>
  <c r="AV5" i="11"/>
  <c r="AU5" i="11"/>
  <c r="AT5" i="11"/>
  <c r="AS5" i="11"/>
  <c r="AR5" i="11"/>
  <c r="AQ5" i="11"/>
  <c r="BJ4" i="11"/>
  <c r="BI4" i="11"/>
  <c r="BH4" i="11"/>
  <c r="BG4" i="11"/>
  <c r="BF4" i="11"/>
  <c r="BE4" i="11"/>
  <c r="BD4" i="11"/>
  <c r="BC4" i="11"/>
  <c r="BB4" i="11"/>
  <c r="BA4" i="11"/>
  <c r="AZ4" i="11"/>
  <c r="AY4" i="11"/>
  <c r="AX4" i="11"/>
  <c r="AW4" i="11"/>
  <c r="AV4" i="11"/>
  <c r="AU4" i="11"/>
  <c r="AT4" i="11"/>
  <c r="AS4" i="11"/>
  <c r="AR4" i="11"/>
  <c r="AQ4" i="11"/>
  <c r="BG34" i="9"/>
  <c r="BF34" i="9"/>
  <c r="BE34" i="9"/>
  <c r="BP33" i="9"/>
  <c r="BO33" i="9"/>
  <c r="BN33" i="9"/>
  <c r="BM33" i="9"/>
  <c r="BK33" i="9"/>
  <c r="BJ33" i="9"/>
  <c r="BI33" i="9"/>
  <c r="BG33" i="9"/>
  <c r="BF33" i="9"/>
  <c r="BE33" i="9"/>
  <c r="BP32" i="9"/>
  <c r="BO32" i="9"/>
  <c r="BN32" i="9"/>
  <c r="BM32" i="9"/>
  <c r="BK32" i="9"/>
  <c r="BJ32" i="9"/>
  <c r="BI32" i="9"/>
  <c r="BG32" i="9"/>
  <c r="BF32" i="9"/>
  <c r="BE32" i="9"/>
  <c r="BP31" i="9"/>
  <c r="BO31" i="9"/>
  <c r="BN31" i="9"/>
  <c r="BM31" i="9"/>
  <c r="BK31" i="9"/>
  <c r="BJ31" i="9"/>
  <c r="BI31" i="9"/>
  <c r="BG31" i="9"/>
  <c r="BF31" i="9"/>
  <c r="BE31" i="9"/>
  <c r="BP30" i="9"/>
  <c r="BK30" i="9"/>
  <c r="BJ30" i="9"/>
  <c r="BG30" i="9"/>
  <c r="BF30" i="9"/>
  <c r="BE30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P28" i="9"/>
  <c r="BO28" i="9"/>
  <c r="BN28" i="9"/>
  <c r="BM28" i="9"/>
  <c r="BK28" i="9"/>
  <c r="BJ28" i="9"/>
  <c r="BI28" i="9"/>
  <c r="BG28" i="9"/>
  <c r="BF28" i="9"/>
  <c r="BE28" i="9"/>
  <c r="BP27" i="9"/>
  <c r="BO27" i="9"/>
  <c r="BN27" i="9"/>
  <c r="BM27" i="9"/>
  <c r="BK27" i="9"/>
  <c r="BJ27" i="9"/>
  <c r="BI27" i="9"/>
  <c r="BG27" i="9"/>
  <c r="BF27" i="9"/>
  <c r="BE27" i="9"/>
  <c r="BP26" i="9"/>
  <c r="BM26" i="9"/>
  <c r="BK26" i="9"/>
  <c r="BJ26" i="9"/>
  <c r="BI26" i="9"/>
  <c r="BG26" i="9"/>
  <c r="BF26" i="9"/>
  <c r="BE26" i="9"/>
  <c r="BE25" i="9"/>
  <c r="BP24" i="9"/>
  <c r="BO24" i="9"/>
  <c r="BN24" i="9"/>
  <c r="BK24" i="9"/>
  <c r="BJ24" i="9"/>
  <c r="BI24" i="9"/>
  <c r="BG24" i="9"/>
  <c r="BF24" i="9"/>
  <c r="BE23" i="9"/>
  <c r="BP22" i="9"/>
  <c r="BO22" i="9"/>
  <c r="BN22" i="9"/>
  <c r="BM22" i="9"/>
  <c r="BK22" i="9"/>
  <c r="BJ22" i="9"/>
  <c r="BI22" i="9"/>
  <c r="BG22" i="9"/>
  <c r="BF22" i="9"/>
  <c r="BE22" i="9"/>
  <c r="BP21" i="9"/>
  <c r="BO21" i="9"/>
  <c r="BG21" i="9"/>
  <c r="BF21" i="9"/>
  <c r="BE21" i="9"/>
  <c r="BP20" i="9"/>
  <c r="BO20" i="9"/>
  <c r="BN20" i="9"/>
  <c r="BM20" i="9"/>
  <c r="BK20" i="9"/>
  <c r="BJ20" i="9"/>
  <c r="BI20" i="9"/>
  <c r="BG20" i="9"/>
  <c r="BF20" i="9"/>
  <c r="BE20" i="9"/>
  <c r="BP19" i="9"/>
  <c r="BO19" i="9"/>
  <c r="BN19" i="9"/>
  <c r="BM19" i="9"/>
  <c r="BK19" i="9"/>
  <c r="BJ19" i="9"/>
  <c r="BI19" i="9"/>
  <c r="BG19" i="9"/>
  <c r="BF19" i="9"/>
  <c r="BE19" i="9"/>
  <c r="BO18" i="9"/>
  <c r="BN18" i="9"/>
  <c r="BM18" i="9"/>
  <c r="BK18" i="9"/>
  <c r="BJ18" i="9"/>
  <c r="BG18" i="9"/>
  <c r="BF18" i="9"/>
  <c r="BE18" i="9"/>
  <c r="BP17" i="9"/>
  <c r="BO17" i="9"/>
  <c r="BN17" i="9"/>
  <c r="BM17" i="9"/>
  <c r="BK17" i="9"/>
  <c r="BJ17" i="9"/>
  <c r="BI17" i="9"/>
  <c r="BG17" i="9"/>
  <c r="BF17" i="9"/>
  <c r="BE17" i="9"/>
  <c r="BP16" i="9"/>
  <c r="BO16" i="9"/>
  <c r="BN16" i="9"/>
  <c r="BM16" i="9"/>
  <c r="BK16" i="9"/>
  <c r="BJ16" i="9"/>
  <c r="BI16" i="9"/>
  <c r="BG16" i="9"/>
  <c r="BF16" i="9"/>
  <c r="BE16" i="9"/>
  <c r="BP15" i="9"/>
  <c r="BO15" i="9"/>
  <c r="BN15" i="9"/>
  <c r="BM15" i="9"/>
  <c r="BK15" i="9"/>
  <c r="BJ15" i="9"/>
  <c r="BI15" i="9"/>
  <c r="BG15" i="9"/>
  <c r="BF15" i="9"/>
  <c r="BE15" i="9"/>
  <c r="BG14" i="9"/>
  <c r="BF14" i="9"/>
  <c r="BP8" i="9"/>
  <c r="BN8" i="9"/>
  <c r="BK8" i="9"/>
  <c r="BJ8" i="9"/>
  <c r="BI8" i="9"/>
  <c r="BG8" i="9"/>
  <c r="BF8" i="9"/>
  <c r="BE8" i="9"/>
  <c r="BP7" i="9"/>
  <c r="BO7" i="9"/>
  <c r="BN7" i="9"/>
  <c r="BM7" i="9"/>
  <c r="BK7" i="9"/>
  <c r="BJ7" i="9"/>
  <c r="BI7" i="9"/>
  <c r="BG7" i="9"/>
  <c r="BF7" i="9"/>
  <c r="BE7" i="9"/>
  <c r="BP6" i="9"/>
  <c r="BO6" i="9"/>
  <c r="BN6" i="9"/>
  <c r="BM6" i="9"/>
  <c r="BK6" i="9"/>
  <c r="BJ6" i="9"/>
  <c r="BI6" i="9"/>
  <c r="BG6" i="9"/>
  <c r="BF6" i="9"/>
  <c r="BE6" i="9"/>
  <c r="BP5" i="9"/>
  <c r="BO5" i="9"/>
  <c r="BN5" i="9"/>
  <c r="BM5" i="9"/>
  <c r="BL5" i="9"/>
  <c r="BK5" i="9"/>
  <c r="BJ5" i="9"/>
  <c r="BI5" i="9"/>
  <c r="BH5" i="9"/>
  <c r="BG5" i="9"/>
  <c r="BF5" i="9"/>
  <c r="E13" i="11"/>
  <c r="AS13" i="11" s="1"/>
  <c r="D13" i="11"/>
  <c r="AR13" i="11" s="1"/>
  <c r="C13" i="11"/>
  <c r="AQ13" i="11" s="1"/>
  <c r="J13" i="11"/>
  <c r="AX13" i="11" s="1"/>
  <c r="I13" i="11"/>
  <c r="AW13" i="11" s="1"/>
  <c r="H13" i="11"/>
  <c r="AV13" i="11" s="1"/>
  <c r="G13" i="11"/>
  <c r="AU13" i="11" s="1"/>
  <c r="N13" i="11"/>
  <c r="BB13" i="11" s="1"/>
  <c r="M13" i="11"/>
  <c r="BA13" i="11" s="1"/>
  <c r="L13" i="11"/>
  <c r="AZ13" i="11" s="1"/>
  <c r="K13" i="11"/>
  <c r="AY13" i="11" s="1"/>
  <c r="R13" i="11"/>
  <c r="BF13" i="11" s="1"/>
  <c r="P13" i="11"/>
  <c r="BD13" i="11" s="1"/>
  <c r="Q13" i="11"/>
  <c r="BE13" i="11" s="1"/>
  <c r="V13" i="11"/>
  <c r="BJ13" i="11" s="1"/>
  <c r="O13" i="11"/>
  <c r="BC13" i="11" s="1"/>
  <c r="E7" i="11"/>
  <c r="AS7" i="11" s="1"/>
  <c r="D7" i="11"/>
  <c r="AR7" i="11" s="1"/>
  <c r="C7" i="11"/>
  <c r="AQ7" i="11" s="1"/>
  <c r="J7" i="11"/>
  <c r="AX7" i="11" s="1"/>
  <c r="H7" i="11"/>
  <c r="AV7" i="11" s="1"/>
  <c r="I7" i="11"/>
  <c r="AW7" i="11" s="1"/>
  <c r="G7" i="11"/>
  <c r="AU7" i="11" s="1"/>
  <c r="N7" i="11"/>
  <c r="BB7" i="11" s="1"/>
  <c r="M7" i="11"/>
  <c r="BA7" i="11" s="1"/>
  <c r="L7" i="11"/>
  <c r="AZ7" i="11" s="1"/>
  <c r="K7" i="11"/>
  <c r="AY7" i="11" s="1"/>
  <c r="R7" i="11"/>
  <c r="BF7" i="11" s="1"/>
  <c r="Q7" i="11"/>
  <c r="BE7" i="11" s="1"/>
  <c r="P7" i="11"/>
  <c r="BD7" i="11" s="1"/>
  <c r="O7" i="11"/>
  <c r="BC7" i="11" s="1"/>
  <c r="V7" i="11"/>
  <c r="BJ7" i="11" s="1"/>
  <c r="U7" i="11"/>
  <c r="BI7" i="11" s="1"/>
  <c r="T7" i="11"/>
  <c r="BH7" i="11" s="1"/>
  <c r="S7" i="11"/>
  <c r="BG7" i="11" s="1"/>
  <c r="V42" i="5"/>
  <c r="AB11" i="9" s="1"/>
  <c r="AP59" i="5"/>
  <c r="AV13" i="9" s="1"/>
  <c r="AO59" i="5"/>
  <c r="AU13" i="9" s="1"/>
  <c r="AN59" i="5"/>
  <c r="AT13" i="9" s="1"/>
  <c r="AM59" i="5"/>
  <c r="AS13" i="9" s="1"/>
  <c r="AL59" i="5"/>
  <c r="AR13" i="9" s="1"/>
  <c r="AK59" i="5"/>
  <c r="AQ13" i="9" s="1"/>
  <c r="AJ59" i="5"/>
  <c r="AP13" i="9" s="1"/>
  <c r="AI59" i="5"/>
  <c r="AO13" i="9" s="1"/>
  <c r="AH59" i="5"/>
  <c r="AN13" i="9" s="1"/>
  <c r="AG59" i="5"/>
  <c r="AM13" i="9" s="1"/>
  <c r="AF59" i="5"/>
  <c r="AL13" i="9" s="1"/>
  <c r="AE59" i="5"/>
  <c r="AK13" i="9" s="1"/>
  <c r="V59" i="5"/>
  <c r="AB13" i="9" s="1"/>
  <c r="U59" i="5"/>
  <c r="AA13" i="9" s="1"/>
  <c r="T59" i="5"/>
  <c r="Z13" i="9" s="1"/>
  <c r="S59" i="5"/>
  <c r="Y13" i="9" s="1"/>
  <c r="R59" i="5"/>
  <c r="X13" i="9" s="1"/>
  <c r="Q59" i="5"/>
  <c r="W13" i="9" s="1"/>
  <c r="P59" i="5"/>
  <c r="V13" i="9" s="1"/>
  <c r="O59" i="5"/>
  <c r="U13" i="9" s="1"/>
  <c r="M59" i="5"/>
  <c r="S13" i="9" s="1"/>
  <c r="L59" i="5"/>
  <c r="R13" i="9" s="1"/>
  <c r="K59" i="5"/>
  <c r="Q13" i="9" s="1"/>
  <c r="AP49" i="5"/>
  <c r="AV12" i="9" s="1"/>
  <c r="AO49" i="5"/>
  <c r="AU12" i="9" s="1"/>
  <c r="AN49" i="5"/>
  <c r="AT12" i="9" s="1"/>
  <c r="AM49" i="5"/>
  <c r="AS12" i="9" s="1"/>
  <c r="AL49" i="5"/>
  <c r="AR12" i="9" s="1"/>
  <c r="AK49" i="5"/>
  <c r="AQ12" i="9" s="1"/>
  <c r="AJ49" i="5"/>
  <c r="AP12" i="9" s="1"/>
  <c r="AI49" i="5"/>
  <c r="AO12" i="9" s="1"/>
  <c r="AH49" i="5"/>
  <c r="AN12" i="9" s="1"/>
  <c r="AG49" i="5"/>
  <c r="AM12" i="9" s="1"/>
  <c r="AF49" i="5"/>
  <c r="AL12" i="9" s="1"/>
  <c r="AE49" i="5"/>
  <c r="AK12" i="9" s="1"/>
  <c r="V49" i="5"/>
  <c r="AB12" i="9" s="1"/>
  <c r="U49" i="5"/>
  <c r="AA12" i="9" s="1"/>
  <c r="T49" i="5"/>
  <c r="Z12" i="9" s="1"/>
  <c r="S49" i="5"/>
  <c r="Y12" i="9" s="1"/>
  <c r="R49" i="5"/>
  <c r="X12" i="9" s="1"/>
  <c r="Q49" i="5"/>
  <c r="W12" i="9" s="1"/>
  <c r="P49" i="5"/>
  <c r="V12" i="9" s="1"/>
  <c r="O49" i="5"/>
  <c r="U12" i="9" s="1"/>
  <c r="N49" i="5"/>
  <c r="T12" i="9" s="1"/>
  <c r="M49" i="5"/>
  <c r="S12" i="9" s="1"/>
  <c r="L49" i="5"/>
  <c r="R12" i="9" s="1"/>
  <c r="K49" i="5"/>
  <c r="Q12" i="9" s="1"/>
  <c r="K29" i="5"/>
  <c r="Q10" i="9" s="1"/>
  <c r="AP42" i="5"/>
  <c r="AV11" i="9" s="1"/>
  <c r="AO42" i="5"/>
  <c r="AU11" i="9" s="1"/>
  <c r="AN42" i="5"/>
  <c r="AT11" i="9" s="1"/>
  <c r="AM42" i="5"/>
  <c r="AS11" i="9" s="1"/>
  <c r="AL42" i="5"/>
  <c r="AR11" i="9" s="1"/>
  <c r="AK42" i="5"/>
  <c r="AQ11" i="9" s="1"/>
  <c r="AJ42" i="5"/>
  <c r="AP11" i="9" s="1"/>
  <c r="AI42" i="5"/>
  <c r="AO11" i="9" s="1"/>
  <c r="AH42" i="5"/>
  <c r="AN11" i="9" s="1"/>
  <c r="AG42" i="5"/>
  <c r="AM11" i="9" s="1"/>
  <c r="AF42" i="5"/>
  <c r="AL11" i="9" s="1"/>
  <c r="AE42" i="5"/>
  <c r="AK11" i="9" s="1"/>
  <c r="U42" i="5"/>
  <c r="AA11" i="9" s="1"/>
  <c r="T42" i="5"/>
  <c r="Z11" i="9" s="1"/>
  <c r="S42" i="5"/>
  <c r="Y11" i="9" s="1"/>
  <c r="R42" i="5"/>
  <c r="X11" i="9" s="1"/>
  <c r="Q42" i="5"/>
  <c r="W11" i="9" s="1"/>
  <c r="P42" i="5"/>
  <c r="V11" i="9" s="1"/>
  <c r="O42" i="5"/>
  <c r="U11" i="9" s="1"/>
  <c r="N42" i="5"/>
  <c r="T11" i="9" s="1"/>
  <c r="M42" i="5"/>
  <c r="S11" i="9" s="1"/>
  <c r="L42" i="5"/>
  <c r="R11" i="9" s="1"/>
  <c r="K42" i="5"/>
  <c r="Q11" i="9" s="1"/>
  <c r="AP29" i="5"/>
  <c r="AV10" i="9" s="1"/>
  <c r="AO29" i="5"/>
  <c r="AU10" i="9" s="1"/>
  <c r="AN29" i="5"/>
  <c r="AT10" i="9" s="1"/>
  <c r="AM29" i="5"/>
  <c r="AS10" i="9" s="1"/>
  <c r="AL29" i="5"/>
  <c r="AR10" i="9" s="1"/>
  <c r="BL10" i="9" s="1"/>
  <c r="AK29" i="5"/>
  <c r="AQ10" i="9" s="1"/>
  <c r="AJ29" i="5"/>
  <c r="AP10" i="9" s="1"/>
  <c r="AI29" i="5"/>
  <c r="AO10" i="9" s="1"/>
  <c r="AH29" i="5"/>
  <c r="AN10" i="9" s="1"/>
  <c r="BH10" i="9" s="1"/>
  <c r="AG29" i="5"/>
  <c r="AM10" i="9" s="1"/>
  <c r="AF29" i="5"/>
  <c r="AL10" i="9" s="1"/>
  <c r="AE29" i="5"/>
  <c r="AK10" i="9" s="1"/>
  <c r="V29" i="5"/>
  <c r="AB10" i="9" s="1"/>
  <c r="U29" i="5"/>
  <c r="AA10" i="9" s="1"/>
  <c r="T29" i="5"/>
  <c r="Z10" i="9" s="1"/>
  <c r="S29" i="5"/>
  <c r="Y10" i="9" s="1"/>
  <c r="Q29" i="5"/>
  <c r="W10" i="9" s="1"/>
  <c r="P29" i="5"/>
  <c r="V10" i="9" s="1"/>
  <c r="O29" i="5"/>
  <c r="U10" i="9" s="1"/>
  <c r="M29" i="5"/>
  <c r="S10" i="9" s="1"/>
  <c r="L29" i="5"/>
  <c r="R10" i="9" s="1"/>
  <c r="V14" i="5"/>
  <c r="U14" i="5"/>
  <c r="U15" i="5"/>
  <c r="T15" i="5"/>
  <c r="T14" i="5"/>
  <c r="D18" i="5" s="1"/>
  <c r="S15" i="5"/>
  <c r="S14" i="5"/>
  <c r="C18" i="5" s="1"/>
  <c r="Q15" i="5"/>
  <c r="Q14" i="5"/>
  <c r="P15" i="5"/>
  <c r="P14" i="5"/>
  <c r="V15" i="5"/>
  <c r="O15" i="5"/>
  <c r="M15" i="5"/>
  <c r="M14" i="5"/>
  <c r="L15" i="5"/>
  <c r="L14" i="5"/>
  <c r="AP18" i="5"/>
  <c r="AV9" i="9" s="1"/>
  <c r="AO18" i="5"/>
  <c r="AU9" i="9" s="1"/>
  <c r="AN18" i="5"/>
  <c r="AT9" i="9" s="1"/>
  <c r="AM18" i="5"/>
  <c r="AS9" i="9" s="1"/>
  <c r="AK18" i="5"/>
  <c r="AQ9" i="9" s="1"/>
  <c r="AJ18" i="5"/>
  <c r="AP9" i="9" s="1"/>
  <c r="AI18" i="5"/>
  <c r="AO9" i="9" s="1"/>
  <c r="AG18" i="5"/>
  <c r="AM9" i="9" s="1"/>
  <c r="AF18" i="5"/>
  <c r="AL9" i="9" s="1"/>
  <c r="AE18" i="5"/>
  <c r="AK9" i="9" s="1"/>
  <c r="K17" i="5"/>
  <c r="K15" i="5"/>
  <c r="AA34" i="9"/>
  <c r="AU34" i="9"/>
  <c r="AA30" i="9"/>
  <c r="BO30" i="9" s="1"/>
  <c r="AA23" i="9"/>
  <c r="BO23" i="9" s="1"/>
  <c r="AA14" i="9"/>
  <c r="BO14" i="9" s="1"/>
  <c r="AA8" i="9"/>
  <c r="BO8" i="9" s="1"/>
  <c r="AA26" i="9"/>
  <c r="BO26" i="9" s="1"/>
  <c r="AA25" i="9"/>
  <c r="BO25" i="9" s="1"/>
  <c r="Z26" i="9"/>
  <c r="BN26" i="9" s="1"/>
  <c r="Z25" i="9"/>
  <c r="BN25" i="9" s="1"/>
  <c r="Z23" i="9"/>
  <c r="BN23" i="9" s="1"/>
  <c r="Z21" i="9"/>
  <c r="BN21" i="9" s="1"/>
  <c r="Z14" i="9"/>
  <c r="BN14" i="9" s="1"/>
  <c r="AT34" i="9"/>
  <c r="Z34" i="9"/>
  <c r="Z30" i="9"/>
  <c r="BN30" i="9" s="1"/>
  <c r="AS34" i="9"/>
  <c r="Y34" i="9"/>
  <c r="Y30" i="9"/>
  <c r="BM30" i="9" s="1"/>
  <c r="Y23" i="9"/>
  <c r="BM23" i="9" s="1"/>
  <c r="Y21" i="9"/>
  <c r="BM21" i="9" s="1"/>
  <c r="Y14" i="9"/>
  <c r="BM14" i="9" s="1"/>
  <c r="Y8" i="9"/>
  <c r="BM8" i="9" s="1"/>
  <c r="Y24" i="9"/>
  <c r="BM24" i="9" s="1"/>
  <c r="AR25" i="9"/>
  <c r="AN25" i="9"/>
  <c r="Y25" i="9"/>
  <c r="BM25" i="9" s="1"/>
  <c r="AR26" i="9"/>
  <c r="AN26" i="9"/>
  <c r="W25" i="9"/>
  <c r="BK25" i="9" s="1"/>
  <c r="W23" i="9"/>
  <c r="BK23" i="9" s="1"/>
  <c r="W21" i="9"/>
  <c r="BK21" i="9" s="1"/>
  <c r="W14" i="9"/>
  <c r="BK14" i="9" s="1"/>
  <c r="W34" i="9"/>
  <c r="AQ34" i="9"/>
  <c r="AP34" i="9"/>
  <c r="V34" i="9"/>
  <c r="V25" i="9"/>
  <c r="BJ25" i="9" s="1"/>
  <c r="V23" i="9"/>
  <c r="BJ23" i="9" s="1"/>
  <c r="V21" i="9"/>
  <c r="BJ21" i="9" s="1"/>
  <c r="V14" i="9"/>
  <c r="BJ14" i="9" s="1"/>
  <c r="AV34" i="9"/>
  <c r="AO34" i="9"/>
  <c r="AB34" i="9"/>
  <c r="U34" i="9"/>
  <c r="U30" i="9"/>
  <c r="BI30" i="9" s="1"/>
  <c r="U25" i="9"/>
  <c r="BI25" i="9" s="1"/>
  <c r="AB25" i="9"/>
  <c r="BP25" i="9" s="1"/>
  <c r="AB23" i="9"/>
  <c r="BP23" i="9" s="1"/>
  <c r="U23" i="9"/>
  <c r="BI23" i="9" s="1"/>
  <c r="U21" i="9"/>
  <c r="BI21" i="9" s="1"/>
  <c r="AB18" i="9"/>
  <c r="BP18" i="9" s="1"/>
  <c r="U18" i="9"/>
  <c r="BI18" i="9" s="1"/>
  <c r="AB14" i="9"/>
  <c r="BP14" i="9" s="1"/>
  <c r="U14" i="9"/>
  <c r="BI14" i="9" s="1"/>
  <c r="AR34" i="9"/>
  <c r="BL34" i="9" s="1"/>
  <c r="AR33" i="9"/>
  <c r="BL33" i="9" s="1"/>
  <c r="AR32" i="9"/>
  <c r="BL32" i="9" s="1"/>
  <c r="AR31" i="9"/>
  <c r="BL31" i="9" s="1"/>
  <c r="AR30" i="9"/>
  <c r="BL30" i="9" s="1"/>
  <c r="AR28" i="9"/>
  <c r="BL28" i="9" s="1"/>
  <c r="AR27" i="9"/>
  <c r="BL27" i="9" s="1"/>
  <c r="AR24" i="9"/>
  <c r="AR23" i="9"/>
  <c r="AR22" i="9"/>
  <c r="BL22" i="9" s="1"/>
  <c r="AR21" i="9"/>
  <c r="AR20" i="9"/>
  <c r="AR19" i="9"/>
  <c r="BL19" i="9" s="1"/>
  <c r="AR18" i="9"/>
  <c r="AR17" i="9"/>
  <c r="BL17" i="9" s="1"/>
  <c r="AR16" i="9"/>
  <c r="BL16" i="9" s="1"/>
  <c r="AR15" i="9"/>
  <c r="BL15" i="9" s="1"/>
  <c r="AR14" i="9"/>
  <c r="AR8" i="9"/>
  <c r="BL8" i="9" s="1"/>
  <c r="AR7" i="9"/>
  <c r="BL7" i="9" s="1"/>
  <c r="AR6" i="9"/>
  <c r="BL6" i="9" s="1"/>
  <c r="AN34" i="9"/>
  <c r="BH34" i="9" s="1"/>
  <c r="AN33" i="9"/>
  <c r="BH33" i="9" s="1"/>
  <c r="AN32" i="9"/>
  <c r="BH32" i="9" s="1"/>
  <c r="AN31" i="9"/>
  <c r="BH31" i="9" s="1"/>
  <c r="AN30" i="9"/>
  <c r="BH30" i="9" s="1"/>
  <c r="AN28" i="9"/>
  <c r="BH28" i="9" s="1"/>
  <c r="AN27" i="9"/>
  <c r="BH27" i="9" s="1"/>
  <c r="AN24" i="9"/>
  <c r="AN23" i="9"/>
  <c r="AN22" i="9"/>
  <c r="BH22" i="9" s="1"/>
  <c r="AN21" i="9"/>
  <c r="AN20" i="9"/>
  <c r="AN19" i="9"/>
  <c r="BH19" i="9" s="1"/>
  <c r="AN18" i="9"/>
  <c r="AN17" i="9"/>
  <c r="BH17" i="9" s="1"/>
  <c r="AN16" i="9"/>
  <c r="BH16" i="9" s="1"/>
  <c r="AN15" i="9"/>
  <c r="BH15" i="9" s="1"/>
  <c r="AN14" i="9"/>
  <c r="AN8" i="9"/>
  <c r="BH8" i="9" s="1"/>
  <c r="AN7" i="9"/>
  <c r="BH7" i="9" s="1"/>
  <c r="AN6" i="9"/>
  <c r="BH6" i="9" s="1"/>
  <c r="S25" i="9"/>
  <c r="BG25" i="9" s="1"/>
  <c r="R25" i="9"/>
  <c r="BF25" i="9" s="1"/>
  <c r="S23" i="9"/>
  <c r="BG23" i="9" s="1"/>
  <c r="R23" i="9"/>
  <c r="BF23" i="9" s="1"/>
  <c r="Q24" i="9"/>
  <c r="BE24" i="9" s="1"/>
  <c r="Q14" i="9"/>
  <c r="BE14" i="9" s="1"/>
  <c r="Y8" i="1"/>
  <c r="X26" i="9"/>
  <c r="T26" i="9"/>
  <c r="X25" i="9"/>
  <c r="T25" i="9"/>
  <c r="X24" i="9"/>
  <c r="T24" i="9"/>
  <c r="X23" i="9"/>
  <c r="T23" i="9"/>
  <c r="X21" i="9"/>
  <c r="T21" i="9"/>
  <c r="X20" i="9"/>
  <c r="T20" i="9"/>
  <c r="X18" i="9"/>
  <c r="T18" i="9"/>
  <c r="X14" i="9"/>
  <c r="T14" i="9"/>
  <c r="AA5" i="1"/>
  <c r="Z45" i="1"/>
  <c r="Y45" i="1"/>
  <c r="Z44" i="1"/>
  <c r="Y44" i="1"/>
  <c r="Z43" i="1"/>
  <c r="Y43" i="1"/>
  <c r="Z42" i="1"/>
  <c r="Y42" i="1"/>
  <c r="Z41" i="1"/>
  <c r="Y41" i="1"/>
  <c r="Z37" i="1"/>
  <c r="Y37" i="1"/>
  <c r="Z36" i="1"/>
  <c r="Y36" i="1"/>
  <c r="Z35" i="1"/>
  <c r="Y35" i="1"/>
  <c r="Z34" i="1"/>
  <c r="Y34" i="1"/>
  <c r="Z33" i="1"/>
  <c r="Y33" i="1"/>
  <c r="Y31" i="1"/>
  <c r="Z30" i="1"/>
  <c r="Y30" i="1"/>
  <c r="Z27" i="1"/>
  <c r="Y27" i="1"/>
  <c r="Z25" i="1"/>
  <c r="Y25" i="1"/>
  <c r="Z22" i="1"/>
  <c r="Y22" i="1"/>
  <c r="Z20" i="1"/>
  <c r="Y20" i="1"/>
  <c r="Z19" i="1"/>
  <c r="Y19" i="1"/>
  <c r="Z18" i="1"/>
  <c r="Y18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Z7" i="1"/>
  <c r="Y7" i="1"/>
  <c r="Z6" i="1"/>
  <c r="Y6" i="1"/>
  <c r="Z5" i="1"/>
  <c r="AB5" i="1" s="1"/>
  <c r="Y5" i="1"/>
  <c r="BE10" i="9" l="1"/>
  <c r="E18" i="5"/>
  <c r="Q18" i="5"/>
  <c r="BK9" i="9" s="1"/>
  <c r="U18" i="5"/>
  <c r="BO9" i="9" s="1"/>
  <c r="BF11" i="9"/>
  <c r="BN11" i="9"/>
  <c r="BF13" i="9"/>
  <c r="M18" i="5"/>
  <c r="BG9" i="9" s="1"/>
  <c r="BG12" i="9"/>
  <c r="BL11" i="9"/>
  <c r="BO12" i="9"/>
  <c r="BL13" i="9"/>
  <c r="BJ10" i="9"/>
  <c r="BH11" i="9"/>
  <c r="BP11" i="9"/>
  <c r="BH25" i="9"/>
  <c r="BL25" i="9"/>
  <c r="BM10" i="9"/>
  <c r="BL20" i="9"/>
  <c r="BH23" i="9"/>
  <c r="BP34" i="9"/>
  <c r="BM34" i="9"/>
  <c r="BN34" i="9"/>
  <c r="BO34" i="9"/>
  <c r="BG10" i="9"/>
  <c r="BK10" i="9"/>
  <c r="BO10" i="9"/>
  <c r="BG11" i="9"/>
  <c r="BK11" i="9"/>
  <c r="BO11" i="9"/>
  <c r="BG13" i="9"/>
  <c r="BL23" i="9"/>
  <c r="BP10" i="9"/>
  <c r="BH14" i="9"/>
  <c r="BF10" i="9"/>
  <c r="BN10" i="9"/>
  <c r="BJ11" i="9"/>
  <c r="BE12" i="9"/>
  <c r="BI12" i="9"/>
  <c r="BM12" i="9"/>
  <c r="BJ13" i="9"/>
  <c r="BN13" i="9"/>
  <c r="BH18" i="9"/>
  <c r="BK12" i="9"/>
  <c r="BL24" i="9"/>
  <c r="BH26" i="9"/>
  <c r="BF12" i="9"/>
  <c r="BJ12" i="9"/>
  <c r="BN12" i="9"/>
  <c r="BK13" i="9"/>
  <c r="BO13" i="9"/>
  <c r="BH20" i="9"/>
  <c r="BH24" i="9"/>
  <c r="BL21" i="9"/>
  <c r="BJ34" i="9"/>
  <c r="BL26" i="9"/>
  <c r="K18" i="5"/>
  <c r="BE9" i="9" s="1"/>
  <c r="BP13" i="9"/>
  <c r="BH21" i="9"/>
  <c r="BL14" i="9"/>
  <c r="BL18" i="9"/>
  <c r="BI34" i="9"/>
  <c r="BK34" i="9"/>
  <c r="BI10" i="9"/>
  <c r="BE11" i="9"/>
  <c r="BI11" i="9"/>
  <c r="BM11" i="9"/>
  <c r="BH12" i="9"/>
  <c r="BL12" i="9"/>
  <c r="BP12" i="9"/>
  <c r="BE13" i="9"/>
  <c r="BI13" i="9"/>
  <c r="BM13" i="9"/>
  <c r="V18" i="5"/>
  <c r="BP9" i="9" s="1"/>
  <c r="F18" i="13"/>
  <c r="F8" i="11" s="1"/>
  <c r="AT8" i="11" s="1"/>
  <c r="D18" i="13"/>
  <c r="D8" i="11" s="1"/>
  <c r="AR8" i="11" s="1"/>
  <c r="AR34" i="11" s="1"/>
  <c r="E18" i="13"/>
  <c r="E8" i="11" s="1"/>
  <c r="AS8" i="11" s="1"/>
  <c r="AS34" i="11" s="1"/>
  <c r="M18" i="13"/>
  <c r="M8" i="11" s="1"/>
  <c r="BA8" i="11" s="1"/>
  <c r="Q18" i="13"/>
  <c r="Q8" i="11" s="1"/>
  <c r="BE8" i="11" s="1"/>
  <c r="S18" i="13"/>
  <c r="S8" i="11" s="1"/>
  <c r="BG8" i="11" s="1"/>
  <c r="L18" i="5"/>
  <c r="BF9" i="9" s="1"/>
  <c r="U18" i="13"/>
  <c r="U8" i="11" s="1"/>
  <c r="BI8" i="11" s="1"/>
  <c r="T18" i="13"/>
  <c r="T8" i="11" s="1"/>
  <c r="BH8" i="11" s="1"/>
  <c r="H18" i="13"/>
  <c r="H8" i="11" s="1"/>
  <c r="AV8" i="11" s="1"/>
  <c r="AV34" i="11" s="1"/>
  <c r="J18" i="13"/>
  <c r="J8" i="11" s="1"/>
  <c r="AX8" i="11" s="1"/>
  <c r="AX34" i="11" s="1"/>
  <c r="C18" i="13"/>
  <c r="C8" i="11" s="1"/>
  <c r="AQ8" i="11" s="1"/>
  <c r="K18" i="13"/>
  <c r="K8" i="11" s="1"/>
  <c r="AY8" i="11" s="1"/>
  <c r="R18" i="13"/>
  <c r="R8" i="11" s="1"/>
  <c r="BF8" i="11" s="1"/>
  <c r="L18" i="13"/>
  <c r="L8" i="11" s="1"/>
  <c r="AZ8" i="11" s="1"/>
  <c r="AZ34" i="11" s="1"/>
  <c r="G18" i="13"/>
  <c r="G8" i="11" s="1"/>
  <c r="AU8" i="11" s="1"/>
  <c r="BB34" i="11"/>
  <c r="BF34" i="11"/>
  <c r="BE34" i="11"/>
  <c r="BD34" i="11"/>
  <c r="BA34" i="11"/>
  <c r="BC34" i="11"/>
  <c r="BG34" i="11"/>
  <c r="AQ34" i="11"/>
  <c r="BI34" i="11"/>
  <c r="BH34" i="11"/>
  <c r="AW34" i="11"/>
  <c r="AY34" i="11"/>
  <c r="BJ34" i="11"/>
  <c r="AU34" i="11"/>
  <c r="AT34" i="11"/>
  <c r="O14" i="5"/>
  <c r="O18" i="5" s="1"/>
  <c r="BI9" i="9" s="1"/>
  <c r="P18" i="5"/>
  <c r="BJ9" i="9" s="1"/>
  <c r="S18" i="5"/>
  <c r="BM9" i="9" s="1"/>
  <c r="T18" i="5"/>
  <c r="N59" i="5"/>
  <c r="T13" i="9" s="1"/>
  <c r="BH13" i="9" s="1"/>
  <c r="R26" i="5"/>
  <c r="N26" i="5"/>
  <c r="R25" i="5"/>
  <c r="N25" i="5"/>
  <c r="R15" i="5"/>
  <c r="N15" i="5"/>
  <c r="AL14" i="5"/>
  <c r="AL18" i="5" s="1"/>
  <c r="AR9" i="9" s="1"/>
  <c r="BL9" i="9" s="1"/>
  <c r="AH14" i="5"/>
  <c r="AH18" i="5" s="1"/>
  <c r="AN9" i="9" s="1"/>
  <c r="BH9" i="9" s="1"/>
  <c r="R14" i="5"/>
  <c r="N14" i="5"/>
  <c r="B58" i="6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252" i="7"/>
  <c r="V58" i="6"/>
  <c r="T58" i="6"/>
  <c r="R58" i="6"/>
  <c r="P58" i="6"/>
  <c r="N58" i="6"/>
  <c r="L58" i="6"/>
  <c r="J58" i="6"/>
  <c r="H58" i="6"/>
  <c r="F58" i="6"/>
  <c r="D58" i="6"/>
  <c r="X28" i="6"/>
  <c r="V28" i="6"/>
  <c r="T28" i="6"/>
  <c r="R28" i="6"/>
  <c r="P28" i="6"/>
  <c r="N28" i="6"/>
  <c r="L28" i="6"/>
  <c r="J28" i="6"/>
  <c r="H28" i="6"/>
  <c r="F28" i="6"/>
  <c r="D28" i="6"/>
  <c r="B28" i="6"/>
  <c r="N18" i="5" l="1"/>
  <c r="R18" i="5"/>
  <c r="R29" i="5"/>
  <c r="BP35" i="9"/>
  <c r="BE35" i="9"/>
  <c r="BG35" i="9"/>
  <c r="BF35" i="9"/>
  <c r="BJ35" i="9"/>
  <c r="BL35" i="9"/>
  <c r="BI35" i="9"/>
  <c r="BK35" i="9"/>
  <c r="BO35" i="9"/>
  <c r="BN9" i="9"/>
  <c r="BN35" i="9" s="1"/>
  <c r="BH35" i="9"/>
  <c r="BM35" i="9"/>
  <c r="N29" i="5"/>
  <c r="C30" i="6"/>
  <c r="C60" i="6"/>
  <c r="N6" i="5" l="1"/>
  <c r="M6" i="5"/>
  <c r="L6" i="5"/>
  <c r="K6" i="5"/>
  <c r="N40" i="1"/>
  <c r="Z40" i="1" s="1"/>
  <c r="J40" i="1"/>
  <c r="Y40" i="1" s="1"/>
  <c r="X39" i="1"/>
  <c r="W39" i="1"/>
  <c r="Y39" i="1" s="1"/>
  <c r="N39" i="1"/>
  <c r="J39" i="1"/>
  <c r="X38" i="1"/>
  <c r="N38" i="1"/>
  <c r="J38" i="1"/>
  <c r="Y38" i="1" s="1"/>
  <c r="N32" i="1"/>
  <c r="Z32" i="1" s="1"/>
  <c r="J32" i="1"/>
  <c r="Y32" i="1" s="1"/>
  <c r="N31" i="1"/>
  <c r="Z31" i="1" s="1"/>
  <c r="N29" i="1"/>
  <c r="Z29" i="1" s="1"/>
  <c r="J29" i="1"/>
  <c r="Y29" i="1" s="1"/>
  <c r="N28" i="1"/>
  <c r="Z28" i="1" s="1"/>
  <c r="J28" i="1"/>
  <c r="Y28" i="1" s="1"/>
  <c r="N26" i="1"/>
  <c r="Z26" i="1" s="1"/>
  <c r="J26" i="1"/>
  <c r="Y26" i="1" s="1"/>
  <c r="N24" i="1"/>
  <c r="Z24" i="1" s="1"/>
  <c r="J24" i="1"/>
  <c r="Y24" i="1" s="1"/>
  <c r="N23" i="1"/>
  <c r="Z23" i="1" s="1"/>
  <c r="J23" i="1"/>
  <c r="Y23" i="1" s="1"/>
  <c r="N21" i="1"/>
  <c r="Z21" i="1" s="1"/>
  <c r="J21" i="1"/>
  <c r="Y21" i="1" s="1"/>
  <c r="N17" i="1"/>
  <c r="J17" i="1"/>
  <c r="X17" i="1"/>
  <c r="W17" i="1"/>
  <c r="Y17" i="1" s="1"/>
  <c r="N16" i="1"/>
  <c r="Z16" i="1" s="1"/>
  <c r="J16" i="1"/>
  <c r="Y16" i="1" s="1"/>
  <c r="N15" i="1"/>
  <c r="Z15" i="1" s="1"/>
  <c r="J15" i="1"/>
  <c r="Y15" i="1" s="1"/>
  <c r="Y46" i="1" s="1"/>
  <c r="Z17" i="1" l="1"/>
  <c r="Z46" i="1" s="1"/>
  <c r="Z38" i="1"/>
  <c r="Z39" i="1"/>
</calcChain>
</file>

<file path=xl/sharedStrings.xml><?xml version="1.0" encoding="utf-8"?>
<sst xmlns="http://schemas.openxmlformats.org/spreadsheetml/2006/main" count="2699" uniqueCount="697">
  <si>
    <t>No.</t>
  </si>
  <si>
    <t>Kode Saham</t>
  </si>
  <si>
    <t>Nama Perusahaan Tercatat</t>
  </si>
  <si>
    <t>ACES</t>
  </si>
  <si>
    <t>ACE HARDWARE INDONESIA TBK</t>
  </si>
  <si>
    <t>ADRO</t>
  </si>
  <si>
    <t>ADARO ENERGY TBK</t>
  </si>
  <si>
    <t>AKRA</t>
  </si>
  <si>
    <t>AKR CORPORINDO TBK</t>
  </si>
  <si>
    <t>ANTM</t>
  </si>
  <si>
    <t>ANEKA TAMBANG (PERSERO) TBK</t>
  </si>
  <si>
    <t>ASII</t>
  </si>
  <si>
    <t>ASTRA INTERNATIONAL TBK</t>
  </si>
  <si>
    <t>BBCA</t>
  </si>
  <si>
    <t>BANK CENTRAL ASIA TBK</t>
  </si>
  <si>
    <t>BBNI</t>
  </si>
  <si>
    <t>BANK NEGARA INDONESIA (PERSERO) TBK</t>
  </si>
  <si>
    <t>BBRI</t>
  </si>
  <si>
    <t>BANK RAKYAT INDONESIA (PERSERO) TBK</t>
  </si>
  <si>
    <t>BBTN</t>
  </si>
  <si>
    <t>BANK TABUNGAN NEGARA (PERSERO) TBK</t>
  </si>
  <si>
    <t>BMRI</t>
  </si>
  <si>
    <t>BANK MANDIRI (PERSERO) TBK</t>
  </si>
  <si>
    <t>BRPT</t>
  </si>
  <si>
    <t>BARITO PACIFIC TBK</t>
  </si>
  <si>
    <t>BSDE</t>
  </si>
  <si>
    <t>BUMI SERPONG DAMAI TBK</t>
  </si>
  <si>
    <t>CPIN</t>
  </si>
  <si>
    <t>CHAROEN POKPHAND INDONESIA TBK</t>
  </si>
  <si>
    <t>ERAA</t>
  </si>
  <si>
    <t>ERAJAYA SWASEMBADA TBK</t>
  </si>
  <si>
    <t>EXCL</t>
  </si>
  <si>
    <t>XL AXIATA TBK</t>
  </si>
  <si>
    <t>GGRM</t>
  </si>
  <si>
    <t>GUDANG GARAM TBK</t>
  </si>
  <si>
    <t>HMSP</t>
  </si>
  <si>
    <t>H.M. SAMPOERNA TBK</t>
  </si>
  <si>
    <t>ICBP</t>
  </si>
  <si>
    <t>INDOFOOD CBP SUKSES MAKMUR TBK</t>
  </si>
  <si>
    <t>INCO</t>
  </si>
  <si>
    <t>VALE INDONESIA TBK</t>
  </si>
  <si>
    <t>INDF</t>
  </si>
  <si>
    <t>INDOFOOD SUKSES MAKMUR TBK</t>
  </si>
  <si>
    <t>INKP</t>
  </si>
  <si>
    <t>INDAH KIAT PULP &amp; PAPER TBK</t>
  </si>
  <si>
    <t>INTP</t>
  </si>
  <si>
    <t>INDOCEMENT TUNGGAL PRAKARSA TBK</t>
  </si>
  <si>
    <t>ITMG</t>
  </si>
  <si>
    <t>INDO TAMBANGRAYA MEGAH TBK</t>
  </si>
  <si>
    <t>JPFA</t>
  </si>
  <si>
    <t>JAPFA COMFEED INDONESIA TBK</t>
  </si>
  <si>
    <t>JSMR</t>
  </si>
  <si>
    <t>JASA MARGA (PERSERO) TBK</t>
  </si>
  <si>
    <t>KLBF</t>
  </si>
  <si>
    <t>KALBE FARMA TBK</t>
  </si>
  <si>
    <t>MDKA</t>
  </si>
  <si>
    <t>MERDEKA COPPER GOLD TBK</t>
  </si>
  <si>
    <t>MEDC</t>
  </si>
  <si>
    <t>MEDCO ENERGI INTERNASIONAL TBK</t>
  </si>
  <si>
    <t>MIKA</t>
  </si>
  <si>
    <t>MITRA KELUARGA KARYASEHAT TBK</t>
  </si>
  <si>
    <t>MNCN</t>
  </si>
  <si>
    <t>MEDIA NUSANTARA CITRA TBK</t>
  </si>
  <si>
    <t>PGAS</t>
  </si>
  <si>
    <t>PERUSAHAAN GAS NEGARA (PERSERO) TBK</t>
  </si>
  <si>
    <t>PTBA</t>
  </si>
  <si>
    <t>TAMBANG BATU BARA BUKIT ASAM (PERSERO) TBK</t>
  </si>
  <si>
    <t>PTPP</t>
  </si>
  <si>
    <t>PP (PERSERO) TBK</t>
  </si>
  <si>
    <t>PWON</t>
  </si>
  <si>
    <t>PAKUWON JATI TBK</t>
  </si>
  <si>
    <t>SMGR</t>
  </si>
  <si>
    <t>SEMEN INDONESIA (PERSERO) TBK</t>
  </si>
  <si>
    <t>TBIG</t>
  </si>
  <si>
    <t>TOWER BERSAMA INFRASTUCTURE TBK</t>
  </si>
  <si>
    <t>TINS</t>
  </si>
  <si>
    <t>TIMAH TBK</t>
  </si>
  <si>
    <t>TKIM</t>
  </si>
  <si>
    <t>PABRIK KERTAS TJIWI KIMIA TBK</t>
  </si>
  <si>
    <t>TLKM</t>
  </si>
  <si>
    <t>TELEKOMUNIKASI INDONESIA (PERSERO) TBK</t>
  </si>
  <si>
    <t>TOWR</t>
  </si>
  <si>
    <t>SARANA MENARA NUSANTARA TBK</t>
  </si>
  <si>
    <t>TPIA</t>
  </si>
  <si>
    <t>CHANDRA ASRI PETROCHEMICAL TBK</t>
  </si>
  <si>
    <t>UNTR</t>
  </si>
  <si>
    <t>UNITED TRACTORS TBK</t>
  </si>
  <si>
    <t>UNVR</t>
  </si>
  <si>
    <t>UNILEVER INDONESIA TBK</t>
  </si>
  <si>
    <t>WIKA</t>
  </si>
  <si>
    <t>WIJAYA KARYA (PERSERO) TBK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</si>
  <si>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</si>
  <si>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</si>
  <si>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</si>
  <si>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</si>
  <si>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</si>
  <si>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</si>
  <si>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</si>
  <si>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</si>
  <si>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</si>
  <si>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</si>
  <si>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</si>
  <si>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</si>
  <si>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OK</t>
  </si>
  <si>
    <t>Ace Hardware Indonesia Tbk.</t>
  </si>
  <si>
    <t>Adaro Energy Tbk.</t>
  </si>
  <si>
    <t>AKR Corporindo Tbk.</t>
  </si>
  <si>
    <t>Aneka Tambang Tbk.</t>
  </si>
  <si>
    <t>Astra International Tbk.</t>
  </si>
  <si>
    <t>Bank Central Asia Tbk.</t>
  </si>
  <si>
    <t>Bank Negara Indonesia (Persero) Tbk.</t>
  </si>
  <si>
    <t>Bank Rakyat Indonesia (Persero) Tbk.</t>
  </si>
  <si>
    <t>Bank Tabungan Negara (Persero) Tbk.</t>
  </si>
  <si>
    <t>Bank Mandiri (Persero) Tbk.</t>
  </si>
  <si>
    <t>Barito Pacific Tbk.</t>
  </si>
  <si>
    <t>Bumi Serpong Damai Tbk.</t>
  </si>
  <si>
    <t>Charoen Pokphand Indonesia Tbk</t>
  </si>
  <si>
    <t>Erajaya Swasembada Tbk.</t>
  </si>
  <si>
    <t>XL Axiata Tbk.</t>
  </si>
  <si>
    <t>Gudang Garam Tbk.</t>
  </si>
  <si>
    <t>H.M. Sampoerna Tbk.</t>
  </si>
  <si>
    <t>Indofood CBP Sukses Makmur Tbk.</t>
  </si>
  <si>
    <t>Vale Indonesia Tbk.</t>
  </si>
  <si>
    <t>Indofood Sukses Makmur Tbk.</t>
  </si>
  <si>
    <t>Indah Kiat Pulp &amp; Paper Tbk.</t>
  </si>
  <si>
    <t>Indocement Tunggal Prakarsa Tbk.</t>
  </si>
  <si>
    <t>Indo Tambangraya Megah Tbk.</t>
  </si>
  <si>
    <t>Japfa Comfeed Indonesia Tbk.</t>
  </si>
  <si>
    <t>Jasa Marga (Persero) Tbk.</t>
  </si>
  <si>
    <t>Kalbe Farma Tbk.</t>
  </si>
  <si>
    <t>Merdeka Copper Gold Tbk.</t>
  </si>
  <si>
    <t>Medco Energi Internasional Tbk.</t>
  </si>
  <si>
    <t>Mitra Keluarga Karyasehat Tbk.</t>
  </si>
  <si>
    <t>Media Nusantara Citra Tbk.</t>
  </si>
  <si>
    <t>Perusahaan Gas Negara Tbk.</t>
  </si>
  <si>
    <t>Bukit Asam Tbk.</t>
  </si>
  <si>
    <t>PP (Persero) Tbk.</t>
  </si>
  <si>
    <t>Pakuwon Jati Tbk.</t>
  </si>
  <si>
    <t>Semen Indonesia (Persero) Tbk.</t>
  </si>
  <si>
    <t>SMRA</t>
  </si>
  <si>
    <t>Summarecon Agung Tbk.</t>
  </si>
  <si>
    <t>Tower Bersama Infrastructure Tbk.</t>
  </si>
  <si>
    <t>Timah Tbk.</t>
  </si>
  <si>
    <t>Pabrik Kertas Tjiwi Kimia Tbk.</t>
  </si>
  <si>
    <t>Telkom Indonesia (Persero) Tbk.</t>
  </si>
  <si>
    <t>Sarana Menara Nusantara Tbk.</t>
  </si>
  <si>
    <t>Chandra Asri Petrochemical Tbk.</t>
  </si>
  <si>
    <t>United Tractors Tbk.</t>
  </si>
  <si>
    <t>Unilever Indonesia Tbk.</t>
  </si>
  <si>
    <t>Wijaya Karya (Persero) Tbk.</t>
  </si>
  <si>
    <t>Lapkeu 21</t>
  </si>
  <si>
    <t>Lapkeu 20</t>
  </si>
  <si>
    <t>Aneka Tambang (Persero) Tbk</t>
  </si>
  <si>
    <t>Bank Rakyat Indonesia (Persero) Tbk</t>
  </si>
  <si>
    <t>BTPS</t>
  </si>
  <si>
    <t>Bank Tabungan Pensiunan National Syariah Tbk</t>
  </si>
  <si>
    <t>CTRA</t>
  </si>
  <si>
    <t>Ciputra Development Tbk.</t>
  </si>
  <si>
    <t>Indofood CBP Sukses Makmur Tbk</t>
  </si>
  <si>
    <t>Vale Indonesia Tbk</t>
  </si>
  <si>
    <t>JAPFA Comfeed Indonesia Tbk</t>
  </si>
  <si>
    <t>Perusahaan Gas Negara (Persero) Tbk.</t>
  </si>
  <si>
    <t>Tambang Batubara Bukit Asam Tbk</t>
  </si>
  <si>
    <t>SCMA</t>
  </si>
  <si>
    <t>Surya Citra Media Tbk.</t>
  </si>
  <si>
    <t>SRIL</t>
  </si>
  <si>
    <t>Sri Rejeki Isman Tbk.</t>
  </si>
  <si>
    <t>Telekomunikasi Indonesia (Persero) Tbk.</t>
  </si>
  <si>
    <t>Perusahaan LQ 45 Agustus 20 - Januari 21</t>
  </si>
  <si>
    <t>Perusahaan LQ 45 Agusttus 21 - Januari 22</t>
  </si>
  <si>
    <t>Piutang 2020</t>
  </si>
  <si>
    <t>Piutang 2021</t>
  </si>
  <si>
    <t>Pencadangan piutang 2020</t>
  </si>
  <si>
    <t>Pencadangan piutang 2021</t>
  </si>
  <si>
    <t>Persentase Pencadangan 2020</t>
  </si>
  <si>
    <t>Persentase Pencadangan 2021</t>
  </si>
  <si>
    <t>Daftar Perusahaan LQ 45 per Agustus 2020 s.d Januari 21 &amp; Agustus 21 s.d Januari 22</t>
  </si>
  <si>
    <t>Piutang Usaha</t>
  </si>
  <si>
    <t>CKPN 2021</t>
  </si>
  <si>
    <t>CKPN 2020</t>
  </si>
  <si>
    <t>Piutang Retensi</t>
  </si>
  <si>
    <t>Tagihan Bruto ke pemberi kerja</t>
  </si>
  <si>
    <t>Inflasi</t>
  </si>
  <si>
    <t>Nilai Kurs</t>
  </si>
  <si>
    <t>BI-7 Day Reverse Repo Rate / BI Rate</t>
  </si>
  <si>
    <t>USD</t>
  </si>
  <si>
    <t>Date</t>
  </si>
  <si>
    <t>Kurs</t>
  </si>
  <si>
    <t>29 Januari 2021</t>
  </si>
  <si>
    <t xml:space="preserve">4/30/2021 </t>
  </si>
  <si>
    <t xml:space="preserve">5/31/2021 </t>
  </si>
  <si>
    <t xml:space="preserve">6/30/2021 </t>
  </si>
  <si>
    <t xml:space="preserve">7/30/2021 </t>
  </si>
  <si>
    <t xml:space="preserve">8/31/2021 </t>
  </si>
  <si>
    <t xml:space="preserve">9/30/2021 </t>
  </si>
  <si>
    <t xml:space="preserve">10/29/2021 </t>
  </si>
  <si>
    <t xml:space="preserve">11/30/2021 </t>
  </si>
  <si>
    <t xml:space="preserve">12/31/2021 </t>
  </si>
  <si>
    <t>28 Januari 2021</t>
  </si>
  <si>
    <t xml:space="preserve">4/29/2021 </t>
  </si>
  <si>
    <t xml:space="preserve">5/28/2021 </t>
  </si>
  <si>
    <t xml:space="preserve">6/29/2021 </t>
  </si>
  <si>
    <t xml:space="preserve">7/29/2021 </t>
  </si>
  <si>
    <t xml:space="preserve">8/30/2021 </t>
  </si>
  <si>
    <t xml:space="preserve">9/29/2021 </t>
  </si>
  <si>
    <t xml:space="preserve">10/28/2021 </t>
  </si>
  <si>
    <t xml:space="preserve">11/29/2021 </t>
  </si>
  <si>
    <t xml:space="preserve">12/30/2021 </t>
  </si>
  <si>
    <t>27 Januari 2021</t>
  </si>
  <si>
    <t xml:space="preserve">4/28/2021 </t>
  </si>
  <si>
    <t xml:space="preserve">5/27/2021 </t>
  </si>
  <si>
    <t xml:space="preserve">6/28/2021 </t>
  </si>
  <si>
    <t xml:space="preserve">7/28/2021 </t>
  </si>
  <si>
    <t xml:space="preserve">8/27/2021 </t>
  </si>
  <si>
    <t xml:space="preserve">9/28/2021 </t>
  </si>
  <si>
    <t xml:space="preserve">10/27/2021 </t>
  </si>
  <si>
    <t xml:space="preserve">11/26/2021 </t>
  </si>
  <si>
    <t xml:space="preserve">12/29/2021 </t>
  </si>
  <si>
    <t>26 Januari 2021</t>
  </si>
  <si>
    <t xml:space="preserve">4/27/2021 </t>
  </si>
  <si>
    <t xml:space="preserve">5/26/2021 </t>
  </si>
  <si>
    <t xml:space="preserve">6/25/2021 </t>
  </si>
  <si>
    <t xml:space="preserve">7/27/2021 </t>
  </si>
  <si>
    <t xml:space="preserve">8/26/2021 </t>
  </si>
  <si>
    <t xml:space="preserve">9/27/2021 </t>
  </si>
  <si>
    <t xml:space="preserve">10/26/2021 </t>
  </si>
  <si>
    <t xml:space="preserve">11/25/2021 </t>
  </si>
  <si>
    <t xml:space="preserve">12/28/2021 </t>
  </si>
  <si>
    <t>25 Januari 2021</t>
  </si>
  <si>
    <t>22 Februari 2021</t>
  </si>
  <si>
    <t xml:space="preserve">4/26/2021 </t>
  </si>
  <si>
    <t xml:space="preserve">5/25/2021 </t>
  </si>
  <si>
    <t xml:space="preserve">6/24/2021 </t>
  </si>
  <si>
    <t xml:space="preserve">7/26/2021 </t>
  </si>
  <si>
    <t xml:space="preserve">8/25/2021 </t>
  </si>
  <si>
    <t xml:space="preserve">9/24/2021 </t>
  </si>
  <si>
    <t xml:space="preserve">10/25/2021 </t>
  </si>
  <si>
    <t xml:space="preserve">11/24/2021 </t>
  </si>
  <si>
    <t xml:space="preserve">12/27/2021 </t>
  </si>
  <si>
    <t>22 Januari 2021</t>
  </si>
  <si>
    <t>19 Februari 2021</t>
  </si>
  <si>
    <t xml:space="preserve">4/23/2021 </t>
  </si>
  <si>
    <t xml:space="preserve">5/24/2021 </t>
  </si>
  <si>
    <t xml:space="preserve">6/23/2021 </t>
  </si>
  <si>
    <t xml:space="preserve">7/23/2021 </t>
  </si>
  <si>
    <t xml:space="preserve">8/24/2021 </t>
  </si>
  <si>
    <t xml:space="preserve">9/23/2021 </t>
  </si>
  <si>
    <t xml:space="preserve">10/22/2021 </t>
  </si>
  <si>
    <t xml:space="preserve">11/23/2021 </t>
  </si>
  <si>
    <t xml:space="preserve">12/24/2021 </t>
  </si>
  <si>
    <t>21 Januari 2021</t>
  </si>
  <si>
    <t>18 Februari 2021</t>
  </si>
  <si>
    <t xml:space="preserve">4/22/2021 </t>
  </si>
  <si>
    <t xml:space="preserve">5/21/2021 </t>
  </si>
  <si>
    <t xml:space="preserve">6/22/2021 </t>
  </si>
  <si>
    <t xml:space="preserve">7/22/2021 </t>
  </si>
  <si>
    <t xml:space="preserve">8/23/2021 </t>
  </si>
  <si>
    <t xml:space="preserve">9/22/2021 </t>
  </si>
  <si>
    <t xml:space="preserve">10/21/2021 </t>
  </si>
  <si>
    <t xml:space="preserve">11/22/2021 </t>
  </si>
  <si>
    <t xml:space="preserve">12/23/2021 </t>
  </si>
  <si>
    <t>20 Januari 2021</t>
  </si>
  <si>
    <t>17 Februari 2021</t>
  </si>
  <si>
    <t xml:space="preserve">4/21/2021 </t>
  </si>
  <si>
    <t xml:space="preserve">5/20/2021 </t>
  </si>
  <si>
    <t xml:space="preserve">6/21/2021 </t>
  </si>
  <si>
    <t xml:space="preserve">7/21/2021 </t>
  </si>
  <si>
    <t xml:space="preserve">8/20/2021 </t>
  </si>
  <si>
    <t xml:space="preserve">9/21/2021 </t>
  </si>
  <si>
    <t xml:space="preserve">10/19/2021 </t>
  </si>
  <si>
    <t xml:space="preserve">11/19/2021 </t>
  </si>
  <si>
    <t xml:space="preserve">12/22/2021 </t>
  </si>
  <si>
    <t>19 Januari 2021</t>
  </si>
  <si>
    <t>16 Februari 2021</t>
  </si>
  <si>
    <t xml:space="preserve">4/20/2021 </t>
  </si>
  <si>
    <t xml:space="preserve">5/19/2021 </t>
  </si>
  <si>
    <t xml:space="preserve">6/18/2021 </t>
  </si>
  <si>
    <t xml:space="preserve">7/19/2021 </t>
  </si>
  <si>
    <t xml:space="preserve">8/19/2021 </t>
  </si>
  <si>
    <t xml:space="preserve">9/20/2021 </t>
  </si>
  <si>
    <t xml:space="preserve">10/18/2021 </t>
  </si>
  <si>
    <t xml:space="preserve">11/18/2021 </t>
  </si>
  <si>
    <t xml:space="preserve">12/21/2021 </t>
  </si>
  <si>
    <t>18 Januari 2021</t>
  </si>
  <si>
    <t>15 Februari 2021</t>
  </si>
  <si>
    <t xml:space="preserve">4/19/2021 </t>
  </si>
  <si>
    <t xml:space="preserve">5/18/2021 </t>
  </si>
  <si>
    <t xml:space="preserve">6/17/2021 </t>
  </si>
  <si>
    <t xml:space="preserve">7/16/2021 </t>
  </si>
  <si>
    <t xml:space="preserve">8/18/2021 </t>
  </si>
  <si>
    <t xml:space="preserve">9/17/2021 </t>
  </si>
  <si>
    <t xml:space="preserve">10/15/2021 </t>
  </si>
  <si>
    <t xml:space="preserve">11/17/2021 </t>
  </si>
  <si>
    <t xml:space="preserve">12/20/2021 </t>
  </si>
  <si>
    <t>15 Januari 2021</t>
  </si>
  <si>
    <t>12 Februari 2021</t>
  </si>
  <si>
    <t xml:space="preserve">4/16/2021 </t>
  </si>
  <si>
    <t xml:space="preserve">5/17/2021 </t>
  </si>
  <si>
    <t xml:space="preserve">6/16/2021 </t>
  </si>
  <si>
    <t xml:space="preserve">7/15/2021 </t>
  </si>
  <si>
    <t xml:space="preserve">8/16/2021 </t>
  </si>
  <si>
    <t xml:space="preserve">9/16/2021 </t>
  </si>
  <si>
    <t xml:space="preserve">10/14/2021 </t>
  </si>
  <si>
    <t xml:space="preserve">11/16/2021 </t>
  </si>
  <si>
    <t xml:space="preserve">12/17/2021 </t>
  </si>
  <si>
    <t>14 Januari 2021</t>
  </si>
  <si>
    <t>11 Februari 2021</t>
  </si>
  <si>
    <t xml:space="preserve">4/15/2021 </t>
  </si>
  <si>
    <t xml:space="preserve">5/14/2021 </t>
  </si>
  <si>
    <t xml:space="preserve">6/15/2021 </t>
  </si>
  <si>
    <t xml:space="preserve">7/14/2021 </t>
  </si>
  <si>
    <t xml:space="preserve">8/13/2021 </t>
  </si>
  <si>
    <t xml:space="preserve">9/15/2021 </t>
  </si>
  <si>
    <t xml:space="preserve">10/13/2021 </t>
  </si>
  <si>
    <t xml:space="preserve">11/15/2021 </t>
  </si>
  <si>
    <t xml:space="preserve">12/16/2021 </t>
  </si>
  <si>
    <t>13 Januari 2021</t>
  </si>
  <si>
    <t>10 Februari 2021</t>
  </si>
  <si>
    <t xml:space="preserve">4/14/2021 </t>
  </si>
  <si>
    <t xml:space="preserve">5/13/2021 </t>
  </si>
  <si>
    <t xml:space="preserve">6/14/2021 </t>
  </si>
  <si>
    <t xml:space="preserve">7/13/2021 </t>
  </si>
  <si>
    <t xml:space="preserve">9/14/2021 </t>
  </si>
  <si>
    <t xml:space="preserve">12/15/2021 </t>
  </si>
  <si>
    <t>12 Januari 2021</t>
  </si>
  <si>
    <t>9 Februari 2021</t>
  </si>
  <si>
    <t xml:space="preserve">4/13/2021 </t>
  </si>
  <si>
    <t xml:space="preserve">9/13/2021 </t>
  </si>
  <si>
    <t xml:space="preserve">12/14/2021 </t>
  </si>
  <si>
    <t>11 Januari 2021</t>
  </si>
  <si>
    <t>8 Februari 2021</t>
  </si>
  <si>
    <t xml:space="preserve">12/13/2021 </t>
  </si>
  <si>
    <t>8 Januari 2021</t>
  </si>
  <si>
    <t>5 Februari 2021</t>
  </si>
  <si>
    <t>7 Januari 2021</t>
  </si>
  <si>
    <t>4 Februari 2021</t>
  </si>
  <si>
    <t>6 Januari 2021</t>
  </si>
  <si>
    <t>3 Februari 2021</t>
  </si>
  <si>
    <t>5 Januari 2021</t>
  </si>
  <si>
    <t>2 Februari 2021</t>
  </si>
  <si>
    <t>4 Januari 2021</t>
  </si>
  <si>
    <t>Kurs Rata-Rata 2021</t>
  </si>
  <si>
    <t>Kurs Rata-Rata 2020</t>
  </si>
  <si>
    <t>31 Desember 2020</t>
  </si>
  <si>
    <t>30 Desember 2020</t>
  </si>
  <si>
    <t>29 Desember 2020</t>
  </si>
  <si>
    <t>28 Desember 2020</t>
  </si>
  <si>
    <t>25 Desember 2020</t>
  </si>
  <si>
    <t>24 Desember 2020</t>
  </si>
  <si>
    <t>23 Desember 2020</t>
  </si>
  <si>
    <t>22 Desember 2020</t>
  </si>
  <si>
    <t>21 Desember 2020</t>
  </si>
  <si>
    <t>18 Desember 2020</t>
  </si>
  <si>
    <t>17 Desember 2020</t>
  </si>
  <si>
    <t>16 Desember 2020</t>
  </si>
  <si>
    <t>15 Desember 2020</t>
  </si>
  <si>
    <t>14 Desember 2020</t>
  </si>
  <si>
    <t>11 Desember 2020</t>
  </si>
  <si>
    <t>10 Desember 2020</t>
  </si>
  <si>
    <t>9 Desember 2020</t>
  </si>
  <si>
    <t>8 Desember 2020</t>
  </si>
  <si>
    <t>7 Desember 2020</t>
  </si>
  <si>
    <t>4 Desember 2020</t>
  </si>
  <si>
    <t>3 Desember 2020</t>
  </si>
  <si>
    <t>2 Desember 2020</t>
  </si>
  <si>
    <t>1 Desember 2020</t>
  </si>
  <si>
    <t>30 Oktober 2020</t>
  </si>
  <si>
    <t>29 Oktober 2020</t>
  </si>
  <si>
    <t>28 Oktober 2020</t>
  </si>
  <si>
    <t>27 Oktober 2020</t>
  </si>
  <si>
    <t>26 Oktober 2020</t>
  </si>
  <si>
    <t>23 Oktober 2020</t>
  </si>
  <si>
    <t>22 Oktober 2020</t>
  </si>
  <si>
    <t>21 Oktober 2020</t>
  </si>
  <si>
    <t>20 Oktober 2020</t>
  </si>
  <si>
    <t>19 Oktober 2020</t>
  </si>
  <si>
    <t>16 Oktober 2020</t>
  </si>
  <si>
    <t>15 Oktober 2020</t>
  </si>
  <si>
    <t>14 Oktober 2020</t>
  </si>
  <si>
    <t>13 Oktober 2020</t>
  </si>
  <si>
    <t>12 Oktober 2020</t>
  </si>
  <si>
    <t>9 Oktober 2020</t>
  </si>
  <si>
    <t>8 Oktober 2020</t>
  </si>
  <si>
    <t>7 Oktober 2020</t>
  </si>
  <si>
    <t>6 Oktober 2020</t>
  </si>
  <si>
    <t>5 Oktober 2020</t>
  </si>
  <si>
    <t>2 Oktober 2020</t>
  </si>
  <si>
    <t>1 Oktober 2020</t>
  </si>
  <si>
    <t>31 Agustus 2020</t>
  </si>
  <si>
    <t>28 Agustus 2020</t>
  </si>
  <si>
    <t>27 Agustus 2020</t>
  </si>
  <si>
    <t>26 Agustus 2020</t>
  </si>
  <si>
    <t>25 Agustus 2020</t>
  </si>
  <si>
    <t>24 Agustus 2020</t>
  </si>
  <si>
    <t>19 Agustus 2020</t>
  </si>
  <si>
    <t>18 Agustus 2020</t>
  </si>
  <si>
    <t>14 Agustus 2020</t>
  </si>
  <si>
    <t>13 Agustus 2020</t>
  </si>
  <si>
    <t>12 Agustus 2020</t>
  </si>
  <si>
    <t>11 Agustus 2020</t>
  </si>
  <si>
    <t>10 Agustus 2020</t>
  </si>
  <si>
    <t>7 Agustus 2020</t>
  </si>
  <si>
    <t>6 Agustus 2020</t>
  </si>
  <si>
    <t>5 Agustus 2020</t>
  </si>
  <si>
    <t>4 Agustus 2020</t>
  </si>
  <si>
    <t>3 Agustus 2020</t>
  </si>
  <si>
    <t>30 Juli 2020</t>
  </si>
  <si>
    <t>29 Juli 2020</t>
  </si>
  <si>
    <t>28 Juli 2020</t>
  </si>
  <si>
    <t>27 Juli 2020</t>
  </si>
  <si>
    <t>24 Juli 2020</t>
  </si>
  <si>
    <t>23 Juli 2020</t>
  </si>
  <si>
    <t>22 Juli 2020</t>
  </si>
  <si>
    <t>21 Juli 2020</t>
  </si>
  <si>
    <t>20 Juli 2020</t>
  </si>
  <si>
    <t>17 Juli 2020</t>
  </si>
  <si>
    <t>16 Juli 2020</t>
  </si>
  <si>
    <t>15 Juli 2020</t>
  </si>
  <si>
    <t>14 Juli 2020</t>
  </si>
  <si>
    <t>13 Juli 2020</t>
  </si>
  <si>
    <t>10 Juli 2020</t>
  </si>
  <si>
    <t>9 Juli 2020</t>
  </si>
  <si>
    <t>8 Juli 2020</t>
  </si>
  <si>
    <t>7 Juli 2020</t>
  </si>
  <si>
    <t>6 Juli 2020</t>
  </si>
  <si>
    <t>3 Juli 2020</t>
  </si>
  <si>
    <t>2 Juli 2020</t>
  </si>
  <si>
    <t>1 Juli 2020</t>
  </si>
  <si>
    <t>30 Juni 2020</t>
  </si>
  <si>
    <t>29 Juni 2020</t>
  </si>
  <si>
    <t>26 Juni 2020</t>
  </si>
  <si>
    <t>25 Juni 2020</t>
  </si>
  <si>
    <t>24 Juni 2020</t>
  </si>
  <si>
    <t>23 Juni 2020</t>
  </si>
  <si>
    <t>22 Juni 2020</t>
  </si>
  <si>
    <t>19 Juni 2020</t>
  </si>
  <si>
    <t>18 Juni 2020</t>
  </si>
  <si>
    <t>17 Juni 2020</t>
  </si>
  <si>
    <t>16 Juni 2020</t>
  </si>
  <si>
    <t>15 Juni 2020</t>
  </si>
  <si>
    <t>12 Juni 2020</t>
  </si>
  <si>
    <t>11 Juni 2020</t>
  </si>
  <si>
    <t>10 Juni 2020</t>
  </si>
  <si>
    <t>9 Juni 2020</t>
  </si>
  <si>
    <t>8 Juni 2020</t>
  </si>
  <si>
    <t>5 Juni 2020</t>
  </si>
  <si>
    <t>4 Juni 2020</t>
  </si>
  <si>
    <t>3 Juni 2020</t>
  </si>
  <si>
    <t>2 Juni 2020</t>
  </si>
  <si>
    <t>29 Mei 2020</t>
  </si>
  <si>
    <t>28 Mei 2020</t>
  </si>
  <si>
    <t>27 Mei 2020</t>
  </si>
  <si>
    <t>26 Mei 2020</t>
  </si>
  <si>
    <t>20 Mei 2020</t>
  </si>
  <si>
    <t>19 Mei 2020</t>
  </si>
  <si>
    <t>18 Mei 2020</t>
  </si>
  <si>
    <t>15 Mei 2020</t>
  </si>
  <si>
    <t>14 Mei 2020</t>
  </si>
  <si>
    <t>13 Mei 2020</t>
  </si>
  <si>
    <t>12 Mei 2020</t>
  </si>
  <si>
    <t>11 Mei 2020</t>
  </si>
  <si>
    <t>8 Mei 2020</t>
  </si>
  <si>
    <t>6 Mei 2020</t>
  </si>
  <si>
    <t>5 Mei 2020</t>
  </si>
  <si>
    <t>4 Mei 2020</t>
  </si>
  <si>
    <t>31 Maret 2020</t>
  </si>
  <si>
    <t>30 Maret 2020</t>
  </si>
  <si>
    <t>27 Maret 2020</t>
  </si>
  <si>
    <t>26 Maret 2020</t>
  </si>
  <si>
    <t>24 Maret 2020</t>
  </si>
  <si>
    <t>23 Maret 2020</t>
  </si>
  <si>
    <t>20 Maret 2020</t>
  </si>
  <si>
    <t>19 Maret 2020</t>
  </si>
  <si>
    <t>18 Maret 2020</t>
  </si>
  <si>
    <t>17 Maret 2020</t>
  </si>
  <si>
    <t>16 Maret 2020</t>
  </si>
  <si>
    <t>13 Maret 2020</t>
  </si>
  <si>
    <t>12 Maret 2020</t>
  </si>
  <si>
    <t>11 Maret 2020</t>
  </si>
  <si>
    <t>10 Maret 2020</t>
  </si>
  <si>
    <t>9 Maret 2020</t>
  </si>
  <si>
    <t>6 Maret 2020</t>
  </si>
  <si>
    <t>5 Maret 2020</t>
  </si>
  <si>
    <t>4 Maret 2020</t>
  </si>
  <si>
    <t>3 Maret 2020</t>
  </si>
  <si>
    <t>2 Maret 2020</t>
  </si>
  <si>
    <t>28 Februari 2020</t>
  </si>
  <si>
    <t>27 Februari 2020</t>
  </si>
  <si>
    <t>26 Februari 2020</t>
  </si>
  <si>
    <t>25 Februari 2020</t>
  </si>
  <si>
    <t>24 Februari 2020</t>
  </si>
  <si>
    <t>21 Februari 2020</t>
  </si>
  <si>
    <t>20 Februari 2020</t>
  </si>
  <si>
    <t>19 Februari 2020</t>
  </si>
  <si>
    <t>18 Februari 2020</t>
  </si>
  <si>
    <t>17 Februari 2020</t>
  </si>
  <si>
    <t>14 Februari 2020</t>
  </si>
  <si>
    <t>13 Februari 2020</t>
  </si>
  <si>
    <t>12 Februari 2020</t>
  </si>
  <si>
    <t>11 Februari 2020</t>
  </si>
  <si>
    <t>10 Februari 2020</t>
  </si>
  <si>
    <t>7 Februari 2020</t>
  </si>
  <si>
    <t>6 Februari 2020</t>
  </si>
  <si>
    <t>5 Februari 2020</t>
  </si>
  <si>
    <t>4 Februari 2020</t>
  </si>
  <si>
    <t>3 Februari 2020</t>
  </si>
  <si>
    <t>31 Januari 2020</t>
  </si>
  <si>
    <t>30 Januari 2020</t>
  </si>
  <si>
    <t>29 Januari 2020</t>
  </si>
  <si>
    <t>28 Januari 2020</t>
  </si>
  <si>
    <t>27 Januari 2020</t>
  </si>
  <si>
    <t>24 Januari 2020</t>
  </si>
  <si>
    <t>23 Januari 2020</t>
  </si>
  <si>
    <t>22 Januari 2020</t>
  </si>
  <si>
    <t>21 Januari 2020</t>
  </si>
  <si>
    <t>20 Januari 2020</t>
  </si>
  <si>
    <t>17 Januari 2020</t>
  </si>
  <si>
    <t>16 Januari 2020</t>
  </si>
  <si>
    <t>15 Januari 2020</t>
  </si>
  <si>
    <t>14 Januari 2020</t>
  </si>
  <si>
    <t>13 Januari 2020</t>
  </si>
  <si>
    <t>10 Januari 2020</t>
  </si>
  <si>
    <t>9 Januari 2020</t>
  </si>
  <si>
    <t>8 Januari 2020</t>
  </si>
  <si>
    <t>7 Januari 2020</t>
  </si>
  <si>
    <t>6 Januari 2020</t>
  </si>
  <si>
    <t>3 Januari 2020</t>
  </si>
  <si>
    <t>2 Januari 2020</t>
  </si>
  <si>
    <t>X1</t>
  </si>
  <si>
    <t>X2</t>
  </si>
  <si>
    <t>X3</t>
  </si>
  <si>
    <t>Total</t>
  </si>
  <si>
    <t>Giro Pada Bank-bank Lain</t>
  </si>
  <si>
    <t>Penempatan pada bank indonesia dan bank-bank lain</t>
  </si>
  <si>
    <t xml:space="preserve">Tagihan Akseptasi </t>
  </si>
  <si>
    <t>Wesel Tagih</t>
  </si>
  <si>
    <t>Kredit yang diberikan</t>
  </si>
  <si>
    <t>Piutang Pembiayaan Konsumen</t>
  </si>
  <si>
    <t>Giro Pada Bank Lain</t>
  </si>
  <si>
    <t>Penempatan Pada Bank Lain dan Bank Indonesia</t>
  </si>
  <si>
    <t>Wesel Ekspor dan Tagihan Lainnya</t>
  </si>
  <si>
    <t>Tagihan Akseptasi</t>
  </si>
  <si>
    <t>Pinjaman yang diberikan</t>
  </si>
  <si>
    <t>Kredit yang di berikan</t>
  </si>
  <si>
    <t>Piutang dan Pembiayaan Syariah</t>
  </si>
  <si>
    <t>Piutang Pembiayaan</t>
  </si>
  <si>
    <t>Tagihan Lainnya</t>
  </si>
  <si>
    <t>Y1  
(Persentase CKPN)</t>
  </si>
  <si>
    <t>X1 
(Inflasi)</t>
  </si>
  <si>
    <t>X2 
(Nilai Kurs)</t>
  </si>
  <si>
    <t>X3 
(BI Rate)</t>
  </si>
  <si>
    <t>No</t>
  </si>
  <si>
    <t>Maret</t>
  </si>
  <si>
    <t>Juni</t>
  </si>
  <si>
    <t>Sept</t>
  </si>
  <si>
    <t>Piutang 2019</t>
  </si>
  <si>
    <t>Piutang 2018</t>
  </si>
  <si>
    <t>Persentase Pencadangan 2019</t>
  </si>
  <si>
    <t>Persentase Pencadangan 2018</t>
  </si>
  <si>
    <t>Pencadangan Piutang 2021</t>
  </si>
  <si>
    <t>Pencadangan Piutang 2020</t>
  </si>
  <si>
    <t>Pencadangan Piutang 2019</t>
  </si>
  <si>
    <t>Pencadangan Piutang 2018</t>
  </si>
  <si>
    <t>Perusahaan LQ 45 Agustus 19- Januari 20</t>
  </si>
  <si>
    <t>Perusahaan LQ 45 Agustus 18 - Januari 19</t>
  </si>
  <si>
    <t>ADHI</t>
  </si>
  <si>
    <t>BJBR</t>
  </si>
  <si>
    <t>BKSL</t>
  </si>
  <si>
    <t>ELSA</t>
  </si>
  <si>
    <t>Adhi Karya (Persero)Tbk</t>
  </si>
  <si>
    <t>Adaro Energy Tbk</t>
  </si>
  <si>
    <t>AKR Corporindo Tbk</t>
  </si>
  <si>
    <t>Astra International Tbk</t>
  </si>
  <si>
    <t>Bank Central Asia Tbk</t>
  </si>
  <si>
    <t>Bank Negara Indonesia (Persero) Tbk</t>
  </si>
  <si>
    <t>Bank Tabungan Negara (Persero) Tbk</t>
  </si>
  <si>
    <t>BPD Jawa Barat dan Banten Tbk</t>
  </si>
  <si>
    <t>Sentul City Tbk</t>
  </si>
  <si>
    <t>Bank Mandiri (Persero) Tbk</t>
  </si>
  <si>
    <t>Barito Pacific Tbk</t>
  </si>
  <si>
    <t>Bumi Serpong Damai Tbk</t>
  </si>
  <si>
    <t>Elnusa Tbk</t>
  </si>
  <si>
    <t>XL Axiata Tbk</t>
  </si>
  <si>
    <t>Gudang Garam Tbk</t>
  </si>
  <si>
    <t>H. M. Sampoerna Tbk</t>
  </si>
  <si>
    <t>Indofood Sukses Makmur Tbk</t>
  </si>
  <si>
    <t>INDY</t>
  </si>
  <si>
    <t>Indika Energy Tbk</t>
  </si>
  <si>
    <t>Indah Kiat Pulp &amp; Paper Tbk</t>
  </si>
  <si>
    <t>Indocement Tunggal Prakasa Tbk</t>
  </si>
  <si>
    <t>Indo Tambangraya Megah Tbk</t>
  </si>
  <si>
    <t>Jasa Marga (Persero) Tbk</t>
  </si>
  <si>
    <t>Kalbe Farma Tbk</t>
  </si>
  <si>
    <t>LPKR</t>
  </si>
  <si>
    <t>Lippo Karawaci Tbk</t>
  </si>
  <si>
    <t>LPPF</t>
  </si>
  <si>
    <t>Matahari Department Store Tbk</t>
  </si>
  <si>
    <t>Medco Energi Internasional Tbk</t>
  </si>
  <si>
    <t>Media Nusantara Citra Tbk</t>
  </si>
  <si>
    <t>Perusahaan Gas Negara (Persero) Tbk</t>
  </si>
  <si>
    <t>Bukit Asam Tbk</t>
  </si>
  <si>
    <t>PP (Persero) Tbk</t>
  </si>
  <si>
    <t>Surya Citra Media Tbk</t>
  </si>
  <si>
    <t>Semen Indonesia (Persero) Tbk</t>
  </si>
  <si>
    <t>Sri Rejeki Isman Tbk</t>
  </si>
  <si>
    <t>SSMS</t>
  </si>
  <si>
    <t>Sawit Sumbermas Sarana Tbk</t>
  </si>
  <si>
    <t>Telekomunikasi Indonesia (Persero) Tbk</t>
  </si>
  <si>
    <t>Chandra Asri Petrochemical Tbk</t>
  </si>
  <si>
    <t>United Tractors Tbk</t>
  </si>
  <si>
    <t>Unilever IndonesiaTbk</t>
  </si>
  <si>
    <t>Wijaya Karya (Persero) Tbk</t>
  </si>
  <si>
    <t>WSBP</t>
  </si>
  <si>
    <t>Waskita Beton Precast Tbk</t>
  </si>
  <si>
    <t>WSKT</t>
  </si>
  <si>
    <t>Waskita Karya (Persero) Tbk</t>
  </si>
  <si>
    <t>Indika Energy Tbk.</t>
  </si>
  <si>
    <t>Matahari Department Store Tbk.</t>
  </si>
  <si>
    <t>Waskita Karya (Persero) Tbk.</t>
  </si>
  <si>
    <t>Perusahaan OK 2021-2020</t>
  </si>
  <si>
    <t>Perusahaan OK 2019-2018</t>
  </si>
  <si>
    <t>Perusahaan OK 2018 - 2021</t>
  </si>
  <si>
    <t>Daftar Perusahaan LQ 45 per Dec 2018 - 2021</t>
  </si>
  <si>
    <t>Lapkeu 18</t>
  </si>
  <si>
    <t>Lapkeu 19</t>
  </si>
  <si>
    <t>CKPN 2019</t>
  </si>
  <si>
    <t>CKPN 2018</t>
  </si>
  <si>
    <t>Piutang Pembiayaan Sewa</t>
  </si>
  <si>
    <t>Tahun</t>
  </si>
  <si>
    <t>Bulan</t>
  </si>
  <si>
    <t>Y</t>
  </si>
  <si>
    <t>(%)</t>
  </si>
  <si>
    <t>CKPN</t>
  </si>
  <si>
    <t>BI Rate</t>
  </si>
  <si>
    <t>Piutang 2017</t>
  </si>
  <si>
    <t>Piutang 2016</t>
  </si>
  <si>
    <t>Piutang 2015</t>
  </si>
  <si>
    <t>Pencadangan Piutang 2017</t>
  </si>
  <si>
    <t>Pencadangan Piutang 2016</t>
  </si>
  <si>
    <t>Pencadangan Piutang 2015</t>
  </si>
  <si>
    <t>Persentase Pencadangan 2016</t>
  </si>
  <si>
    <t>Persentase Pencadangan 2017</t>
  </si>
  <si>
    <t>Persentase Pencadangan 2015</t>
  </si>
  <si>
    <t>Astra Agro Lestari Tbk</t>
  </si>
  <si>
    <t>BMTR</t>
  </si>
  <si>
    <t>LSIP</t>
  </si>
  <si>
    <t>PP London Sumatera Indonesia Tbk</t>
  </si>
  <si>
    <t>Pakuwon Jati Tbk</t>
  </si>
  <si>
    <t>Summarecon Agung Tbk</t>
  </si>
  <si>
    <t>Unilever Indonesia Tbk</t>
  </si>
  <si>
    <t>AALI</t>
  </si>
  <si>
    <t>Adhi Karya ( Persero ) Tbk</t>
  </si>
  <si>
    <t>ASRI</t>
  </si>
  <si>
    <t>Alam Sutera Realty Tbk</t>
  </si>
  <si>
    <t>Bank Tabungan Negara (persero) Tbk</t>
  </si>
  <si>
    <t>Global Mediacom Tbk</t>
  </si>
  <si>
    <t xml:space="preserve">HMSP </t>
  </si>
  <si>
    <t>H.M. Sampoerna Tbk</t>
  </si>
  <si>
    <t>Indofoof CBP Sukses Makmur Tbk</t>
  </si>
  <si>
    <t>Indofoof Sukses Makmur Tbk</t>
  </si>
  <si>
    <t>Matahari Depatment Store Tbk</t>
  </si>
  <si>
    <t>MPPA</t>
  </si>
  <si>
    <t>Matahari Putra Prima Tbk.</t>
  </si>
  <si>
    <t xml:space="preserve">MYRX </t>
  </si>
  <si>
    <t xml:space="preserve">Hanson International Tbk </t>
  </si>
  <si>
    <t>Perusahaan Gas Negara (Persero)Tbk</t>
  </si>
  <si>
    <t>Tambang Batubara Bukit Asam (Persero) Tbk</t>
  </si>
  <si>
    <t>PP ( Persero ) Tbk</t>
  </si>
  <si>
    <t>SILO</t>
  </si>
  <si>
    <t>Siloam International Hospital Tbk</t>
  </si>
  <si>
    <t>Wijaya Karya ( Persero )</t>
  </si>
  <si>
    <t>WKST</t>
  </si>
  <si>
    <t>Waskita Karya ( Persero )</t>
  </si>
  <si>
    <t>aug 2016-jan 2017</t>
  </si>
  <si>
    <t>Pencadangan Piutang 2014</t>
  </si>
  <si>
    <t>Piutang 2014</t>
  </si>
  <si>
    <t>Persentase Pencadangan 2014</t>
  </si>
  <si>
    <t>CKPN 2014</t>
  </si>
  <si>
    <t>CKPN 2015</t>
  </si>
  <si>
    <t>CKPN 2016</t>
  </si>
  <si>
    <t>CKPN 2017</t>
  </si>
  <si>
    <t>Piutang 2022</t>
  </si>
  <si>
    <t>Piutang 2023</t>
  </si>
  <si>
    <t>Pencadangan Piutang 2023</t>
  </si>
  <si>
    <t>Pencadangan Piutang 2022</t>
  </si>
  <si>
    <t>Persentase Pencadangan 2022</t>
  </si>
  <si>
    <t>Persentase Pencadangan 2023</t>
  </si>
  <si>
    <t>Daftar Perusahaan LQ 45 per Dec 2018 - 2023</t>
  </si>
  <si>
    <t>CKPN 2023</t>
  </si>
  <si>
    <t>CKPN 2022</t>
  </si>
  <si>
    <t>Kode Emiten</t>
  </si>
  <si>
    <t>Tahun Inflasi (Persentase)</t>
  </si>
  <si>
    <t>September</t>
  </si>
  <si>
    <t>Desember</t>
  </si>
  <si>
    <t>Inflasi Indonesia (Persentase)</t>
  </si>
  <si>
    <t>Nilai Tukar (Persentase)</t>
  </si>
  <si>
    <r>
      <t xml:space="preserve">BI </t>
    </r>
    <r>
      <rPr>
        <b/>
        <i/>
        <sz val="12"/>
        <color theme="1"/>
        <rFont val="Calibri"/>
        <family val="2"/>
        <scheme val="minor"/>
      </rPr>
      <t xml:space="preserve">Rate </t>
    </r>
    <r>
      <rPr>
        <b/>
        <sz val="12"/>
        <color theme="1"/>
        <rFont val="Calibri"/>
        <family val="2"/>
        <scheme val="minor"/>
      </rPr>
      <t>(Persentase)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</si>
</sst>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* #,##0_-;\-* #,##0_-;_-* &quot;-&quot;_-;_-@_-"/>
    <numFmt numFmtId="165" formatCode="_(* #,##0.00_);_(* \(#,##0.00\);_(* &quot;-&quot;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0" fontId="2" fillId="0" borderId="0" xfId="0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41" fontId="0" fillId="0" borderId="0" xfId="2" applyFont="1"/>
    <xf numFmtId="41" fontId="0" fillId="0" borderId="0" xfId="0" applyNumberFormat="1"/>
    <xf numFmtId="0" fontId="2" fillId="0" borderId="0" xfId="0" applyFont="1" applyAlignment="1">
      <alignment horizontal="center"/>
    </xf>
    <xf numFmtId="0" fontId="0" fillId="2" borderId="0" xfId="0" applyFill="1"/>
    <xf numFmtId="9" fontId="0" fillId="0" borderId="0" xfId="1" applyFont="1"/>
    <xf numFmtId="41" fontId="0" fillId="0" borderId="0" xfId="2" applyFont="1" applyAlignment="1">
      <alignment horizontal="center"/>
    </xf>
    <xf numFmtId="10" fontId="0" fillId="0" borderId="0" xfId="1" applyNumberFormat="1" applyFont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6" fillId="0" borderId="0" xfId="0" applyFont="1"/>
    <xf numFmtId="39" fontId="5" fillId="3" borderId="5" xfId="3" applyNumberFormat="1" applyFont="1" applyFill="1" applyBorder="1" applyAlignment="1">
      <alignment horizontal="center" vertical="top"/>
    </xf>
    <xf numFmtId="14" fontId="6" fillId="0" borderId="1" xfId="0" applyNumberFormat="1" applyFont="1" applyBorder="1" applyAlignment="1">
      <alignment horizontal="center"/>
    </xf>
    <xf numFmtId="41" fontId="6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0" xfId="0" applyNumberFormat="1" applyFont="1"/>
    <xf numFmtId="0" fontId="5" fillId="4" borderId="0" xfId="3" applyFont="1" applyFill="1"/>
    <xf numFmtId="0" fontId="8" fillId="4" borderId="0" xfId="0" applyFont="1" applyFill="1"/>
    <xf numFmtId="41" fontId="9" fillId="4" borderId="0" xfId="2" applyFont="1" applyFill="1" applyProtection="1"/>
    <xf numFmtId="41" fontId="8" fillId="0" borderId="0" xfId="2" applyFont="1" applyProtection="1"/>
    <xf numFmtId="0" fontId="5" fillId="0" borderId="0" xfId="0" applyFont="1" applyAlignment="1">
      <alignment horizontal="center"/>
    </xf>
    <xf numFmtId="20" fontId="0" fillId="0" borderId="0" xfId="0" applyNumberFormat="1"/>
    <xf numFmtId="4" fontId="0" fillId="0" borderId="0" xfId="0" applyNumberFormat="1"/>
    <xf numFmtId="15" fontId="0" fillId="0" borderId="0" xfId="0" applyNumberFormat="1"/>
    <xf numFmtId="41" fontId="0" fillId="0" borderId="1" xfId="2" applyFont="1" applyBorder="1"/>
    <xf numFmtId="41" fontId="2" fillId="0" borderId="0" xfId="2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165" fontId="0" fillId="0" borderId="0" xfId="2" applyNumberFormat="1" applyFont="1"/>
    <xf numFmtId="2" fontId="0" fillId="0" borderId="0" xfId="1" applyNumberFormat="1" applyFont="1"/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41" fontId="2" fillId="0" borderId="0" xfId="0" applyNumberFormat="1" applyFont="1" applyAlignment="1">
      <alignment horizontal="center"/>
    </xf>
    <xf numFmtId="165" fontId="2" fillId="0" borderId="0" xfId="2" applyNumberFormat="1" applyFont="1"/>
    <xf numFmtId="165" fontId="2" fillId="0" borderId="1" xfId="2" applyNumberFormat="1" applyFont="1" applyBorder="1"/>
    <xf numFmtId="165" fontId="0" fillId="0" borderId="0" xfId="2" applyNumberFormat="1" applyFont="1" applyBorder="1"/>
    <xf numFmtId="165" fontId="2" fillId="0" borderId="0" xfId="2" applyNumberFormat="1" applyFont="1" applyFill="1" applyBorder="1"/>
    <xf numFmtId="3" fontId="2" fillId="0" borderId="1" xfId="0" applyNumberFormat="1" applyFont="1" applyBorder="1"/>
    <xf numFmtId="3" fontId="2" fillId="0" borderId="1" xfId="2" applyNumberFormat="1" applyFont="1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3" fontId="0" fillId="0" borderId="0" xfId="0" applyNumberFormat="1"/>
    <xf numFmtId="2" fontId="2" fillId="0" borderId="0" xfId="0" applyNumberFormat="1" applyFont="1"/>
    <xf numFmtId="165" fontId="1" fillId="0" borderId="1" xfId="2" applyNumberFormat="1" applyFont="1" applyBorder="1"/>
    <xf numFmtId="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3" fontId="1" fillId="0" borderId="1" xfId="2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9" fontId="5" fillId="3" borderId="2" xfId="3" applyNumberFormat="1" applyFont="1" applyFill="1" applyBorder="1" applyAlignment="1">
      <alignment horizontal="center" vertical="top"/>
    </xf>
    <xf numFmtId="39" fontId="5" fillId="3" borderId="3" xfId="3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 [0]" xfId="2" builtinId="6"/>
    <cellStyle name="Normal" xfId="0" builtinId="0"/>
    <cellStyle name="Normal 5" xfId="3" xr:uid="{79C2F206-1EED-644B-BBB7-0D67B4665CED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88B3-CF0B-1740-BD48-E087D03011DE}">
  <dimension ref="B3:AE45"/>
  <sheetViews>
    <sheetView tabSelected="1" topLeftCell="B4" zoomScale="86" workbookViewId="0">
      <selection activeCell="H29" sqref="H29"/>
    </sheetView>
  </sheetViews>
  <sheetFormatPr baseColWidth="10" defaultRowHeight="16" x14ac:dyDescent="0.2"/>
  <cols>
    <col min="7" max="7" width="11.6640625" bestFit="1" customWidth="1"/>
  </cols>
  <sheetData>
    <row r="3" spans="2:31" x14ac:dyDescent="0.2">
      <c r="D3" s="2" t="s">
        <v>528</v>
      </c>
      <c r="E3" s="2" t="s">
        <v>529</v>
      </c>
      <c r="F3" s="2" t="s">
        <v>530</v>
      </c>
      <c r="G3" s="2" t="s">
        <v>630</v>
      </c>
    </row>
    <row r="4" spans="2:31" x14ac:dyDescent="0.2">
      <c r="B4" s="56" t="s">
        <v>628</v>
      </c>
      <c r="C4" s="56" t="s">
        <v>629</v>
      </c>
      <c r="D4" s="45" t="s">
        <v>182</v>
      </c>
      <c r="E4" s="45" t="s">
        <v>183</v>
      </c>
      <c r="F4" s="45" t="s">
        <v>633</v>
      </c>
      <c r="G4" s="45" t="s">
        <v>632</v>
      </c>
    </row>
    <row r="5" spans="2:31" x14ac:dyDescent="0.2">
      <c r="B5" s="56"/>
      <c r="C5" s="56"/>
      <c r="D5" s="13" t="s">
        <v>631</v>
      </c>
      <c r="E5" s="13" t="s">
        <v>631</v>
      </c>
      <c r="F5" s="13" t="s">
        <v>631</v>
      </c>
      <c r="G5" s="13" t="s">
        <v>631</v>
      </c>
    </row>
    <row r="6" spans="2:31" x14ac:dyDescent="0.2">
      <c r="B6" s="55">
        <v>2014</v>
      </c>
      <c r="C6" s="45" t="s">
        <v>552</v>
      </c>
      <c r="D6" s="13">
        <v>0.08</v>
      </c>
      <c r="E6" s="29">
        <v>11404</v>
      </c>
      <c r="F6" s="47">
        <v>7.5</v>
      </c>
      <c r="G6" s="46">
        <v>4.6558632844070909</v>
      </c>
    </row>
    <row r="7" spans="2:31" x14ac:dyDescent="0.2">
      <c r="B7" s="55"/>
      <c r="C7" s="45" t="s">
        <v>553</v>
      </c>
      <c r="D7" s="13">
        <v>0.43</v>
      </c>
      <c r="E7" s="29">
        <v>11969</v>
      </c>
      <c r="F7" s="47">
        <v>7.5</v>
      </c>
      <c r="G7" s="46">
        <v>8.3827389782947357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2:31" x14ac:dyDescent="0.2">
      <c r="B8" s="55"/>
      <c r="C8" s="45" t="s">
        <v>99</v>
      </c>
      <c r="D8" s="13">
        <v>0.27</v>
      </c>
      <c r="E8" s="29">
        <v>12212</v>
      </c>
      <c r="F8" s="47">
        <v>7.5</v>
      </c>
      <c r="G8" s="46">
        <v>3.2223133371724191</v>
      </c>
    </row>
    <row r="9" spans="2:31" x14ac:dyDescent="0.2">
      <c r="B9" s="55"/>
      <c r="C9" s="45" t="s">
        <v>102</v>
      </c>
      <c r="D9" s="13">
        <v>2.46</v>
      </c>
      <c r="E9" s="29">
        <v>12440</v>
      </c>
      <c r="F9" s="47">
        <v>7.75</v>
      </c>
      <c r="G9" s="46">
        <v>3.8597545750884406</v>
      </c>
    </row>
    <row r="10" spans="2:31" x14ac:dyDescent="0.2">
      <c r="B10" s="55">
        <v>2015</v>
      </c>
      <c r="C10" s="45" t="s">
        <v>552</v>
      </c>
      <c r="D10" s="13">
        <v>0.17</v>
      </c>
      <c r="E10" s="29">
        <v>13084</v>
      </c>
      <c r="F10" s="47">
        <v>7.5</v>
      </c>
      <c r="G10" s="46">
        <v>3.9534463541332778</v>
      </c>
    </row>
    <row r="11" spans="2:31" x14ac:dyDescent="0.2">
      <c r="B11" s="55"/>
      <c r="C11" s="45" t="s">
        <v>553</v>
      </c>
      <c r="D11" s="13">
        <v>0.54</v>
      </c>
      <c r="E11" s="29">
        <v>13332</v>
      </c>
      <c r="F11" s="47">
        <v>7.5</v>
      </c>
      <c r="G11" s="46">
        <v>4.025490521791415</v>
      </c>
    </row>
    <row r="12" spans="2:31" x14ac:dyDescent="0.2">
      <c r="B12" s="55"/>
      <c r="C12" s="45" t="s">
        <v>99</v>
      </c>
      <c r="D12" s="13">
        <v>0.08</v>
      </c>
      <c r="E12" s="29">
        <v>14657</v>
      </c>
      <c r="F12" s="47">
        <v>7.5</v>
      </c>
      <c r="G12" s="46">
        <v>4.2307952972816922</v>
      </c>
    </row>
    <row r="13" spans="2:31" x14ac:dyDescent="0.2">
      <c r="B13" s="55"/>
      <c r="C13" s="45" t="s">
        <v>102</v>
      </c>
      <c r="D13" s="13">
        <v>0.96</v>
      </c>
      <c r="E13" s="29">
        <v>13795</v>
      </c>
      <c r="F13" s="47">
        <v>7.5</v>
      </c>
      <c r="G13" s="46">
        <v>3.8172698985875146</v>
      </c>
    </row>
    <row r="14" spans="2:31" x14ac:dyDescent="0.2">
      <c r="B14" s="55">
        <v>2016</v>
      </c>
      <c r="C14" s="45" t="s">
        <v>552</v>
      </c>
      <c r="D14" s="13">
        <v>0.19</v>
      </c>
      <c r="E14" s="29">
        <v>13276</v>
      </c>
      <c r="F14" s="47">
        <v>6.75</v>
      </c>
      <c r="G14" s="46">
        <v>3.6255655012208967</v>
      </c>
    </row>
    <row r="15" spans="2:31" x14ac:dyDescent="0.2">
      <c r="B15" s="55"/>
      <c r="C15" s="45" t="s">
        <v>553</v>
      </c>
      <c r="D15" s="13">
        <v>0.66</v>
      </c>
      <c r="E15" s="29">
        <v>13180</v>
      </c>
      <c r="F15" s="47">
        <v>6.5</v>
      </c>
      <c r="G15" s="46">
        <v>3.6677086433263044</v>
      </c>
    </row>
    <row r="16" spans="2:31" x14ac:dyDescent="0.2">
      <c r="B16" s="55"/>
      <c r="C16" s="45" t="s">
        <v>99</v>
      </c>
      <c r="D16" s="13">
        <v>0.22</v>
      </c>
      <c r="E16" s="29">
        <v>12998</v>
      </c>
      <c r="F16" s="47">
        <v>5</v>
      </c>
      <c r="G16" s="46">
        <v>3.8733227857603443</v>
      </c>
    </row>
    <row r="17" spans="2:7" x14ac:dyDescent="0.2">
      <c r="B17" s="55"/>
      <c r="C17" s="45" t="s">
        <v>102</v>
      </c>
      <c r="D17" s="13">
        <v>0.42</v>
      </c>
      <c r="E17" s="29">
        <v>13436</v>
      </c>
      <c r="F17" s="47">
        <v>4.75</v>
      </c>
      <c r="G17" s="46">
        <v>4.1642942840980108</v>
      </c>
    </row>
    <row r="18" spans="2:7" x14ac:dyDescent="0.2">
      <c r="B18" s="55">
        <v>2017</v>
      </c>
      <c r="C18" s="45" t="s">
        <v>552</v>
      </c>
      <c r="D18" s="13">
        <v>0.02</v>
      </c>
      <c r="E18" s="29">
        <v>13321</v>
      </c>
      <c r="F18" s="47">
        <v>4.75</v>
      </c>
      <c r="G18" s="46">
        <v>3.9900104993815089</v>
      </c>
    </row>
    <row r="19" spans="2:7" x14ac:dyDescent="0.2">
      <c r="B19" s="55"/>
      <c r="C19" s="45" t="s">
        <v>553</v>
      </c>
      <c r="D19" s="13">
        <v>0.69</v>
      </c>
      <c r="E19" s="29">
        <v>13319</v>
      </c>
      <c r="F19" s="47">
        <v>4.75</v>
      </c>
      <c r="G19" s="46">
        <v>4.5210963697464015</v>
      </c>
    </row>
    <row r="20" spans="2:7" x14ac:dyDescent="0.2">
      <c r="B20" s="55"/>
      <c r="C20" s="45" t="s">
        <v>99</v>
      </c>
      <c r="D20" s="13">
        <v>0.13</v>
      </c>
      <c r="E20" s="29">
        <v>13492</v>
      </c>
      <c r="F20" s="47">
        <v>4.25</v>
      </c>
      <c r="G20" s="46">
        <v>3.755375613835608</v>
      </c>
    </row>
    <row r="21" spans="2:7" x14ac:dyDescent="0.2">
      <c r="B21" s="55"/>
      <c r="C21" s="45" t="s">
        <v>102</v>
      </c>
      <c r="D21" s="13">
        <v>0.71</v>
      </c>
      <c r="E21" s="29">
        <v>13548</v>
      </c>
      <c r="F21" s="47">
        <v>4.25</v>
      </c>
      <c r="G21" s="46">
        <v>4.2140673325911253</v>
      </c>
    </row>
    <row r="22" spans="2:7" x14ac:dyDescent="0.2">
      <c r="B22" s="55">
        <v>2018</v>
      </c>
      <c r="C22" s="45" t="s">
        <v>552</v>
      </c>
      <c r="D22" s="46">
        <v>0.2</v>
      </c>
      <c r="E22" s="29">
        <v>13756</v>
      </c>
      <c r="F22" s="47">
        <v>4.25</v>
      </c>
      <c r="G22" s="46">
        <v>3.9597170836629494</v>
      </c>
    </row>
    <row r="23" spans="2:7" x14ac:dyDescent="0.2">
      <c r="B23" s="55"/>
      <c r="C23" s="45" t="s">
        <v>553</v>
      </c>
      <c r="D23" s="46">
        <v>0.59</v>
      </c>
      <c r="E23" s="29">
        <v>14404</v>
      </c>
      <c r="F23" s="47">
        <v>5.25</v>
      </c>
      <c r="G23" s="46">
        <v>3.7868604314271845</v>
      </c>
    </row>
    <row r="24" spans="2:7" x14ac:dyDescent="0.2">
      <c r="B24" s="55"/>
      <c r="C24" s="45" t="s">
        <v>99</v>
      </c>
      <c r="D24" s="46">
        <v>0.18</v>
      </c>
      <c r="E24" s="29">
        <v>14929</v>
      </c>
      <c r="F24" s="47">
        <v>5.75</v>
      </c>
      <c r="G24" s="46">
        <v>3.9486715210817374</v>
      </c>
    </row>
    <row r="25" spans="2:7" x14ac:dyDescent="0.2">
      <c r="B25" s="55"/>
      <c r="C25" s="45" t="s">
        <v>102</v>
      </c>
      <c r="D25" s="46">
        <v>0.62</v>
      </c>
      <c r="E25" s="29">
        <v>14481</v>
      </c>
      <c r="F25" s="47">
        <v>6</v>
      </c>
      <c r="G25" s="46">
        <v>4.2115388780966709</v>
      </c>
    </row>
    <row r="26" spans="2:7" x14ac:dyDescent="0.2">
      <c r="B26" s="55">
        <v>2019</v>
      </c>
      <c r="C26" s="45" t="s">
        <v>552</v>
      </c>
      <c r="D26" s="46">
        <v>0.11</v>
      </c>
      <c r="E26" s="29">
        <v>14244</v>
      </c>
      <c r="F26" s="47">
        <v>6</v>
      </c>
      <c r="G26" s="46">
        <v>3.7845983347260348</v>
      </c>
    </row>
    <row r="27" spans="2:7" x14ac:dyDescent="0.2">
      <c r="B27" s="55"/>
      <c r="C27" s="45" t="s">
        <v>553</v>
      </c>
      <c r="D27" s="46">
        <v>0.55000000000000004</v>
      </c>
      <c r="E27" s="29">
        <v>14141</v>
      </c>
      <c r="F27" s="47">
        <v>6</v>
      </c>
      <c r="G27" s="46">
        <v>4.3588582680323196</v>
      </c>
    </row>
    <row r="28" spans="2:7" x14ac:dyDescent="0.2">
      <c r="B28" s="55"/>
      <c r="C28" s="45" t="s">
        <v>99</v>
      </c>
      <c r="D28" s="46">
        <v>0.27</v>
      </c>
      <c r="E28" s="29">
        <v>14174</v>
      </c>
      <c r="F28" s="47">
        <v>5.25</v>
      </c>
      <c r="G28" s="46">
        <v>4.620056416437075</v>
      </c>
    </row>
    <row r="29" spans="2:7" x14ac:dyDescent="0.2">
      <c r="B29" s="55"/>
      <c r="C29" s="45" t="s">
        <v>102</v>
      </c>
      <c r="D29" s="46">
        <v>0.34</v>
      </c>
      <c r="E29" s="29">
        <v>13901.005000000001</v>
      </c>
      <c r="F29" s="47">
        <v>5</v>
      </c>
      <c r="G29" s="46">
        <v>6.5784320563400973</v>
      </c>
    </row>
    <row r="30" spans="2:7" x14ac:dyDescent="0.2">
      <c r="B30" s="55">
        <v>2020</v>
      </c>
      <c r="C30" s="45" t="s">
        <v>552</v>
      </c>
      <c r="D30" s="46">
        <v>0.1</v>
      </c>
      <c r="E30" s="29">
        <v>15194.573809523812</v>
      </c>
      <c r="F30" s="47">
        <v>4.5</v>
      </c>
      <c r="G30" s="46">
        <v>7.909149294849029</v>
      </c>
    </row>
    <row r="31" spans="2:7" x14ac:dyDescent="0.2">
      <c r="B31" s="55"/>
      <c r="C31" s="45" t="s">
        <v>553</v>
      </c>
      <c r="D31" s="46">
        <v>0.18</v>
      </c>
      <c r="E31" s="29">
        <v>14195.955000000002</v>
      </c>
      <c r="F31" s="47">
        <v>4.25</v>
      </c>
      <c r="G31" s="46">
        <v>7.9679804184835108</v>
      </c>
    </row>
    <row r="32" spans="2:7" x14ac:dyDescent="0.2">
      <c r="B32" s="55"/>
      <c r="C32" s="45" t="s">
        <v>99</v>
      </c>
      <c r="D32" s="46">
        <v>0.05</v>
      </c>
      <c r="E32" s="29">
        <v>14847.956590909092</v>
      </c>
      <c r="F32" s="47">
        <v>4</v>
      </c>
      <c r="G32" s="46">
        <v>8.8146757189544953</v>
      </c>
    </row>
    <row r="33" spans="2:7" x14ac:dyDescent="0.2">
      <c r="B33" s="55"/>
      <c r="C33" s="45" t="s">
        <v>102</v>
      </c>
      <c r="D33" s="46">
        <v>0.33999999999999997</v>
      </c>
      <c r="E33" s="29">
        <v>14173.088478260872</v>
      </c>
      <c r="F33" s="47">
        <v>3.75</v>
      </c>
      <c r="G33" s="46">
        <v>8.3309771882512713</v>
      </c>
    </row>
    <row r="34" spans="2:7" x14ac:dyDescent="0.2">
      <c r="B34" s="55">
        <v>2021</v>
      </c>
      <c r="C34" s="45" t="s">
        <v>552</v>
      </c>
      <c r="D34" s="46">
        <v>0.08</v>
      </c>
      <c r="E34" s="29">
        <v>14417.393478260872</v>
      </c>
      <c r="F34" s="47">
        <v>3.5000000000000004</v>
      </c>
      <c r="G34" s="46">
        <v>8.9444259227568708</v>
      </c>
    </row>
    <row r="35" spans="2:7" x14ac:dyDescent="0.2">
      <c r="B35" s="55"/>
      <c r="C35" s="45" t="s">
        <v>553</v>
      </c>
      <c r="D35" s="46">
        <v>0.16</v>
      </c>
      <c r="E35" s="29">
        <v>14338.228863636365</v>
      </c>
      <c r="F35" s="47">
        <v>3.5000000000000004</v>
      </c>
      <c r="G35" s="46">
        <v>9.1131921857222533</v>
      </c>
    </row>
    <row r="36" spans="2:7" x14ac:dyDescent="0.2">
      <c r="B36" s="55"/>
      <c r="C36" s="45" t="s">
        <v>99</v>
      </c>
      <c r="D36" s="46">
        <v>0.04</v>
      </c>
      <c r="E36" s="29">
        <v>14256.957045454548</v>
      </c>
      <c r="F36" s="47">
        <v>3.5000000000000004</v>
      </c>
      <c r="G36" s="46">
        <v>8.27149319049993</v>
      </c>
    </row>
    <row r="37" spans="2:7" x14ac:dyDescent="0.2">
      <c r="B37" s="55"/>
      <c r="C37" s="45" t="s">
        <v>102</v>
      </c>
      <c r="D37" s="46">
        <v>0.56999999999999995</v>
      </c>
      <c r="E37" s="29">
        <v>14328.915869565217</v>
      </c>
      <c r="F37" s="47">
        <v>3.5000000000000004</v>
      </c>
      <c r="G37" s="46">
        <v>8.4656335980415154</v>
      </c>
    </row>
    <row r="38" spans="2:7" x14ac:dyDescent="0.2">
      <c r="B38" s="55">
        <v>2022</v>
      </c>
      <c r="C38" s="45" t="s">
        <v>552</v>
      </c>
      <c r="D38" s="46">
        <v>0.66</v>
      </c>
      <c r="E38" s="29">
        <v>14349.005000000001</v>
      </c>
      <c r="F38" s="47">
        <v>3.5000000000000004</v>
      </c>
      <c r="G38" s="46">
        <v>8.7103565426488974</v>
      </c>
    </row>
    <row r="39" spans="2:7" x14ac:dyDescent="0.2">
      <c r="B39" s="55"/>
      <c r="C39" s="45" t="s">
        <v>553</v>
      </c>
      <c r="D39" s="46">
        <v>0.61</v>
      </c>
      <c r="E39" s="29">
        <v>14848</v>
      </c>
      <c r="F39" s="47">
        <v>3.5000000000000004</v>
      </c>
      <c r="G39" s="46">
        <v>8.7257859527251647</v>
      </c>
    </row>
    <row r="40" spans="2:7" x14ac:dyDescent="0.2">
      <c r="B40" s="55"/>
      <c r="C40" s="45" t="s">
        <v>99</v>
      </c>
      <c r="D40" s="46">
        <v>1.17</v>
      </c>
      <c r="E40" s="29">
        <v>15247</v>
      </c>
      <c r="F40" s="47">
        <v>4.25</v>
      </c>
      <c r="G40" s="46">
        <v>8.7702170174117651</v>
      </c>
    </row>
    <row r="41" spans="2:7" x14ac:dyDescent="0.2">
      <c r="B41" s="55"/>
      <c r="C41" s="45" t="s">
        <v>102</v>
      </c>
      <c r="D41" s="46">
        <v>0.66</v>
      </c>
      <c r="E41" s="29">
        <v>15731</v>
      </c>
      <c r="F41" s="47">
        <v>5.5</v>
      </c>
      <c r="G41" s="46">
        <v>12.781004856881934</v>
      </c>
    </row>
    <row r="42" spans="2:7" x14ac:dyDescent="0.2">
      <c r="B42" s="55">
        <v>2023</v>
      </c>
      <c r="C42" s="45" t="s">
        <v>552</v>
      </c>
      <c r="D42" s="46">
        <v>0.66</v>
      </c>
      <c r="E42" s="29">
        <v>15062</v>
      </c>
      <c r="F42" s="47">
        <v>5.75</v>
      </c>
      <c r="G42" s="46">
        <v>8.7475342155301306</v>
      </c>
    </row>
    <row r="43" spans="2:7" x14ac:dyDescent="0.2">
      <c r="B43" s="55"/>
      <c r="C43" s="45" t="s">
        <v>553</v>
      </c>
      <c r="D43" s="46">
        <v>0.61</v>
      </c>
      <c r="E43" s="29">
        <v>15026</v>
      </c>
      <c r="F43" s="47">
        <v>5.75</v>
      </c>
      <c r="G43" s="46">
        <v>8.66168619655984</v>
      </c>
    </row>
    <row r="44" spans="2:7" x14ac:dyDescent="0.2">
      <c r="B44" s="55"/>
      <c r="C44" s="45" t="s">
        <v>99</v>
      </c>
      <c r="D44" s="46">
        <v>1.17</v>
      </c>
      <c r="E44" s="29">
        <v>15526</v>
      </c>
      <c r="F44" s="47">
        <v>5.75</v>
      </c>
      <c r="G44" s="46">
        <v>8.533387809008703</v>
      </c>
    </row>
    <row r="45" spans="2:7" x14ac:dyDescent="0.2">
      <c r="B45" s="55"/>
      <c r="C45" s="45" t="s">
        <v>102</v>
      </c>
      <c r="D45" s="46">
        <v>0.41</v>
      </c>
      <c r="E45" s="29">
        <v>15416</v>
      </c>
      <c r="F45" s="47">
        <v>6</v>
      </c>
      <c r="G45" s="46">
        <v>11.706240656790586</v>
      </c>
    </row>
  </sheetData>
  <mergeCells count="12">
    <mergeCell ref="B38:B41"/>
    <mergeCell ref="B42:B45"/>
    <mergeCell ref="B22:B25"/>
    <mergeCell ref="B26:B29"/>
    <mergeCell ref="B30:B33"/>
    <mergeCell ref="B34:B37"/>
    <mergeCell ref="B18:B21"/>
    <mergeCell ref="C4:C5"/>
    <mergeCell ref="B4:B5"/>
    <mergeCell ref="B6:B9"/>
    <mergeCell ref="B10:B13"/>
    <mergeCell ref="B14:B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AAD97-1DC6-FC4B-9FDF-8B38C793E5BB}">
  <dimension ref="B1:AB48"/>
  <sheetViews>
    <sheetView workbookViewId="0">
      <pane xSplit="3" ySplit="4" topLeftCell="D5" activePane="bottomRight" state="frozen"/>
      <selection activeCell="H8" sqref="H8:I8"/>
      <selection pane="topRight" activeCell="H8" sqref="H8:I8"/>
      <selection pane="bottomLeft" activeCell="H8" sqref="H8:I8"/>
      <selection pane="bottomRight" activeCell="H8" sqref="H8:I8"/>
    </sheetView>
  </sheetViews>
  <sheetFormatPr baseColWidth="10" defaultRowHeight="16" x14ac:dyDescent="0.2"/>
  <cols>
    <col min="2" max="2" width="4" bestFit="1" customWidth="1"/>
    <col min="3" max="3" width="11.5" bestFit="1" customWidth="1"/>
    <col min="4" max="4" width="45.5" bestFit="1" customWidth="1"/>
    <col min="7" max="22" width="17.1640625" customWidth="1"/>
    <col min="23" max="24" width="17.1640625" style="6" customWidth="1"/>
    <col min="25" max="26" width="14" style="10" customWidth="1"/>
    <col min="27" max="27" width="14.33203125" style="6" customWidth="1"/>
    <col min="28" max="28" width="14.5" customWidth="1"/>
  </cols>
  <sheetData>
    <row r="1" spans="2:28" x14ac:dyDescent="0.2">
      <c r="W1"/>
      <c r="X1"/>
      <c r="Y1"/>
      <c r="Z1"/>
      <c r="AA1"/>
    </row>
    <row r="2" spans="2:28" x14ac:dyDescent="0.2">
      <c r="W2"/>
      <c r="X2"/>
      <c r="Y2"/>
      <c r="Z2"/>
      <c r="AA2"/>
    </row>
    <row r="3" spans="2:28" x14ac:dyDescent="0.2">
      <c r="B3" s="1" t="s">
        <v>176</v>
      </c>
      <c r="G3" s="76" t="s">
        <v>171</v>
      </c>
      <c r="H3" s="76"/>
      <c r="I3" s="76"/>
      <c r="J3" s="76"/>
      <c r="K3" s="76" t="s">
        <v>170</v>
      </c>
      <c r="L3" s="76"/>
      <c r="M3" s="76"/>
      <c r="N3" s="76"/>
      <c r="O3" s="76" t="s">
        <v>555</v>
      </c>
      <c r="P3" s="76"/>
      <c r="Q3" s="76"/>
      <c r="R3" s="76"/>
      <c r="S3" s="76" t="s">
        <v>556</v>
      </c>
      <c r="T3" s="76"/>
      <c r="U3" s="76"/>
      <c r="V3" s="76"/>
      <c r="W3" s="76" t="s">
        <v>173</v>
      </c>
      <c r="X3" s="76"/>
      <c r="Y3" s="76"/>
      <c r="Z3" s="76"/>
      <c r="AA3" s="76"/>
    </row>
    <row r="4" spans="2:28" s="4" customFormat="1" ht="30" x14ac:dyDescent="0.2">
      <c r="B4" s="5" t="s">
        <v>0</v>
      </c>
      <c r="C4" s="5" t="s">
        <v>1</v>
      </c>
      <c r="D4" s="5" t="s">
        <v>2</v>
      </c>
      <c r="E4" s="5" t="s">
        <v>151</v>
      </c>
      <c r="F4" s="5" t="s">
        <v>150</v>
      </c>
      <c r="G4" s="5" t="s">
        <v>552</v>
      </c>
      <c r="H4" s="5" t="s">
        <v>553</v>
      </c>
      <c r="I4" s="5" t="s">
        <v>554</v>
      </c>
      <c r="J4" s="5" t="s">
        <v>102</v>
      </c>
      <c r="K4" s="5" t="s">
        <v>552</v>
      </c>
      <c r="L4" s="5" t="s">
        <v>553</v>
      </c>
      <c r="M4" s="5" t="s">
        <v>554</v>
      </c>
      <c r="N4" s="5" t="s">
        <v>102</v>
      </c>
      <c r="O4" s="5" t="s">
        <v>552</v>
      </c>
      <c r="P4" s="5" t="s">
        <v>553</v>
      </c>
      <c r="Q4" s="5" t="s">
        <v>554</v>
      </c>
      <c r="R4" s="5" t="s">
        <v>102</v>
      </c>
      <c r="S4" s="5" t="s">
        <v>552</v>
      </c>
      <c r="T4" s="5" t="s">
        <v>553</v>
      </c>
      <c r="U4" s="5" t="s">
        <v>554</v>
      </c>
      <c r="V4" s="5" t="s">
        <v>102</v>
      </c>
      <c r="W4" s="5" t="s">
        <v>173</v>
      </c>
      <c r="X4" s="5" t="s">
        <v>172</v>
      </c>
      <c r="Y4" s="5" t="s">
        <v>175</v>
      </c>
      <c r="Z4" s="5" t="s">
        <v>174</v>
      </c>
      <c r="AA4" s="5" t="s">
        <v>557</v>
      </c>
      <c r="AB4" s="5" t="s">
        <v>558</v>
      </c>
    </row>
    <row r="5" spans="2:28" x14ac:dyDescent="0.2">
      <c r="B5" s="2">
        <v>1</v>
      </c>
      <c r="C5" s="2" t="s">
        <v>3</v>
      </c>
      <c r="D5" s="2" t="s">
        <v>4</v>
      </c>
      <c r="E5" s="2" t="s">
        <v>103</v>
      </c>
      <c r="F5" s="2" t="s">
        <v>103</v>
      </c>
      <c r="I5" s="11"/>
      <c r="J5" s="11">
        <v>23976207222</v>
      </c>
      <c r="K5" s="11"/>
      <c r="L5" s="11"/>
      <c r="M5" s="11"/>
      <c r="N5" s="11">
        <v>28451080827</v>
      </c>
      <c r="O5" s="11"/>
      <c r="P5" s="11"/>
      <c r="Q5" s="11"/>
      <c r="R5" s="11"/>
      <c r="S5" s="11"/>
      <c r="T5" s="11"/>
      <c r="U5" s="11"/>
      <c r="V5" s="11"/>
      <c r="W5" s="6">
        <v>259305579</v>
      </c>
      <c r="X5" s="6">
        <v>55110067</v>
      </c>
      <c r="Y5" s="34">
        <f t="shared" ref="Y5:Y45" si="0">(W5/J5)*100</f>
        <v>1.0815120865408077</v>
      </c>
      <c r="Z5" s="34">
        <f>(X5/N5)*100</f>
        <v>0.19370113682184156</v>
      </c>
      <c r="AA5" s="34" t="e">
        <f>(Y5/O5)*100</f>
        <v>#DIV/0!</v>
      </c>
      <c r="AB5" s="34" t="e">
        <f>(Z5/P5)*100</f>
        <v>#DIV/0!</v>
      </c>
    </row>
    <row r="6" spans="2:28" x14ac:dyDescent="0.2">
      <c r="B6" s="2">
        <v>2</v>
      </c>
      <c r="C6" s="2" t="s">
        <v>5</v>
      </c>
      <c r="D6" s="2" t="s">
        <v>6</v>
      </c>
      <c r="E6" s="2" t="s">
        <v>103</v>
      </c>
      <c r="F6" s="2" t="s">
        <v>103</v>
      </c>
      <c r="I6" s="11"/>
      <c r="J6" s="11">
        <v>433760</v>
      </c>
      <c r="K6" s="11"/>
      <c r="L6" s="11"/>
      <c r="M6" s="11"/>
      <c r="N6" s="11">
        <v>214117</v>
      </c>
      <c r="O6" s="11"/>
      <c r="P6" s="11"/>
      <c r="Q6" s="11"/>
      <c r="R6" s="11"/>
      <c r="S6" s="11"/>
      <c r="T6" s="11"/>
      <c r="U6" s="11"/>
      <c r="V6" s="11"/>
      <c r="W6" s="6">
        <v>3274</v>
      </c>
      <c r="X6" s="6">
        <v>3287</v>
      </c>
      <c r="Y6" s="34">
        <f t="shared" si="0"/>
        <v>0.75479527849502026</v>
      </c>
      <c r="Z6" s="34">
        <f t="shared" ref="Z6:Z45" si="1">(X6/N6)*100</f>
        <v>1.5351420018027526</v>
      </c>
    </row>
    <row r="7" spans="2:28" x14ac:dyDescent="0.2">
      <c r="B7" s="2">
        <v>3</v>
      </c>
      <c r="C7" s="2" t="s">
        <v>7</v>
      </c>
      <c r="D7" s="2" t="s">
        <v>8</v>
      </c>
      <c r="E7" s="2" t="s">
        <v>103</v>
      </c>
      <c r="F7" s="2" t="s">
        <v>103</v>
      </c>
      <c r="I7" s="11"/>
      <c r="J7" s="11">
        <v>5500759730</v>
      </c>
      <c r="K7" s="11"/>
      <c r="L7" s="11"/>
      <c r="M7" s="11"/>
      <c r="N7" s="11">
        <v>3340670777</v>
      </c>
      <c r="O7" s="11"/>
      <c r="P7" s="11"/>
      <c r="Q7" s="11"/>
      <c r="R7" s="11"/>
      <c r="S7" s="11"/>
      <c r="T7" s="11"/>
      <c r="U7" s="11"/>
      <c r="V7" s="11"/>
      <c r="W7" s="6">
        <v>352807893</v>
      </c>
      <c r="X7" s="6">
        <v>263529945</v>
      </c>
      <c r="Y7" s="34">
        <f t="shared" si="0"/>
        <v>6.4138030075347432</v>
      </c>
      <c r="Z7" s="34">
        <f t="shared" si="1"/>
        <v>7.8885338481829086</v>
      </c>
    </row>
    <row r="8" spans="2:28" x14ac:dyDescent="0.2">
      <c r="B8" s="2">
        <v>4</v>
      </c>
      <c r="C8" s="2" t="s">
        <v>9</v>
      </c>
      <c r="D8" s="2" t="s">
        <v>10</v>
      </c>
      <c r="E8" s="2" t="s">
        <v>103</v>
      </c>
      <c r="F8" s="2" t="s">
        <v>103</v>
      </c>
      <c r="I8" s="11"/>
      <c r="J8" s="11">
        <v>1044084</v>
      </c>
      <c r="K8" s="11"/>
      <c r="L8" s="11"/>
      <c r="M8" s="11"/>
      <c r="N8" s="11">
        <v>1398700</v>
      </c>
      <c r="O8" s="11"/>
      <c r="P8" s="11"/>
      <c r="Q8" s="11"/>
      <c r="R8" s="11"/>
      <c r="S8" s="11"/>
      <c r="T8" s="11"/>
      <c r="U8" s="11"/>
      <c r="V8" s="11"/>
      <c r="W8" s="6">
        <v>117925</v>
      </c>
      <c r="X8" s="6">
        <v>88274</v>
      </c>
      <c r="Y8" s="34">
        <f t="shared" si="0"/>
        <v>11.294589324230618</v>
      </c>
      <c r="Z8" s="34">
        <f t="shared" si="1"/>
        <v>6.3111460642024735</v>
      </c>
    </row>
    <row r="9" spans="2:28" x14ac:dyDescent="0.2">
      <c r="B9" s="2">
        <v>5</v>
      </c>
      <c r="C9" s="2" t="s">
        <v>11</v>
      </c>
      <c r="D9" s="2" t="s">
        <v>12</v>
      </c>
      <c r="E9" s="2" t="s">
        <v>103</v>
      </c>
      <c r="F9" s="2" t="s">
        <v>103</v>
      </c>
      <c r="I9" s="11"/>
      <c r="J9" s="11">
        <v>23846</v>
      </c>
      <c r="K9" s="11"/>
      <c r="L9" s="11"/>
      <c r="M9" s="11"/>
      <c r="N9" s="11">
        <v>18622</v>
      </c>
      <c r="O9" s="11"/>
      <c r="P9" s="11"/>
      <c r="Q9" s="11"/>
      <c r="R9" s="11"/>
      <c r="S9" s="11"/>
      <c r="T9" s="11"/>
      <c r="U9" s="11"/>
      <c r="V9" s="11"/>
      <c r="W9" s="6">
        <v>1960</v>
      </c>
      <c r="X9" s="6">
        <v>1478</v>
      </c>
      <c r="Y9" s="34">
        <f t="shared" si="0"/>
        <v>8.2194078671475292</v>
      </c>
      <c r="Z9" s="34">
        <f t="shared" si="1"/>
        <v>7.9368488884115562</v>
      </c>
    </row>
    <row r="10" spans="2:28" x14ac:dyDescent="0.2">
      <c r="B10" s="2">
        <v>6</v>
      </c>
      <c r="C10" s="2" t="s">
        <v>13</v>
      </c>
      <c r="D10" s="2" t="s">
        <v>14</v>
      </c>
      <c r="E10" s="2" t="s">
        <v>103</v>
      </c>
      <c r="F10" s="2" t="s">
        <v>103</v>
      </c>
      <c r="I10" s="11"/>
      <c r="J10" s="11">
        <v>746904873</v>
      </c>
      <c r="K10" s="11"/>
      <c r="L10" s="11"/>
      <c r="M10" s="11"/>
      <c r="N10" s="11">
        <v>659083774</v>
      </c>
      <c r="O10" s="11"/>
      <c r="P10" s="11"/>
      <c r="Q10" s="11"/>
      <c r="R10" s="11"/>
      <c r="S10" s="11"/>
      <c r="T10" s="11"/>
      <c r="U10" s="11"/>
      <c r="V10" s="11"/>
      <c r="W10" s="6">
        <v>33554598</v>
      </c>
      <c r="X10" s="6">
        <v>28175019</v>
      </c>
      <c r="Y10" s="34">
        <f t="shared" si="0"/>
        <v>4.4924861535881284</v>
      </c>
      <c r="Z10" s="34">
        <f t="shared" si="1"/>
        <v>4.2748767473070881</v>
      </c>
    </row>
    <row r="11" spans="2:28" x14ac:dyDescent="0.2">
      <c r="B11" s="2">
        <v>7</v>
      </c>
      <c r="C11" s="2" t="s">
        <v>15</v>
      </c>
      <c r="D11" s="2" t="s">
        <v>16</v>
      </c>
      <c r="E11" s="2" t="s">
        <v>103</v>
      </c>
      <c r="F11" s="2" t="s">
        <v>103</v>
      </c>
      <c r="I11" s="11"/>
      <c r="J11" s="11">
        <v>798155579</v>
      </c>
      <c r="K11" s="11"/>
      <c r="L11" s="11"/>
      <c r="M11" s="11"/>
      <c r="N11" s="11">
        <v>747465208</v>
      </c>
      <c r="O11" s="11"/>
      <c r="P11" s="11"/>
      <c r="Q11" s="11"/>
      <c r="R11" s="11"/>
      <c r="S11" s="11"/>
      <c r="T11" s="11"/>
      <c r="U11" s="11"/>
      <c r="V11" s="11"/>
      <c r="W11" s="6">
        <v>51712293</v>
      </c>
      <c r="X11" s="6">
        <v>45556512</v>
      </c>
      <c r="Y11" s="34">
        <f t="shared" si="0"/>
        <v>6.478974069790973</v>
      </c>
      <c r="Z11" s="34">
        <f t="shared" si="1"/>
        <v>6.0948003348404685</v>
      </c>
    </row>
    <row r="12" spans="2:28" x14ac:dyDescent="0.2">
      <c r="B12" s="2">
        <v>8</v>
      </c>
      <c r="C12" s="2" t="s">
        <v>17</v>
      </c>
      <c r="D12" s="2" t="s">
        <v>18</v>
      </c>
      <c r="E12" s="2" t="s">
        <v>103</v>
      </c>
      <c r="F12" s="2" t="s">
        <v>103</v>
      </c>
      <c r="I12" s="11"/>
      <c r="J12" s="11">
        <v>1155127678</v>
      </c>
      <c r="K12" s="11"/>
      <c r="L12" s="11"/>
      <c r="M12" s="11"/>
      <c r="N12" s="11">
        <v>1134701080</v>
      </c>
      <c r="O12" s="11"/>
      <c r="P12" s="11"/>
      <c r="Q12" s="11"/>
      <c r="R12" s="11"/>
      <c r="S12" s="11"/>
      <c r="T12" s="11"/>
      <c r="U12" s="11"/>
      <c r="V12" s="11"/>
      <c r="W12" s="6">
        <v>89495254</v>
      </c>
      <c r="X12" s="6">
        <v>72379016</v>
      </c>
      <c r="Y12" s="34">
        <f t="shared" si="0"/>
        <v>7.7476503857091377</v>
      </c>
      <c r="Z12" s="34">
        <f t="shared" si="1"/>
        <v>6.3786857416228067</v>
      </c>
    </row>
    <row r="13" spans="2:28" x14ac:dyDescent="0.2">
      <c r="B13" s="2">
        <v>9</v>
      </c>
      <c r="C13" s="2" t="s">
        <v>19</v>
      </c>
      <c r="D13" s="2" t="s">
        <v>20</v>
      </c>
      <c r="E13" s="2" t="s">
        <v>103</v>
      </c>
      <c r="F13" s="2" t="s">
        <v>103</v>
      </c>
      <c r="I13" s="11"/>
      <c r="J13" s="11">
        <v>304287277</v>
      </c>
      <c r="K13" s="11"/>
      <c r="L13" s="11"/>
      <c r="M13" s="11"/>
      <c r="N13" s="11">
        <v>283357796</v>
      </c>
      <c r="O13" s="11"/>
      <c r="P13" s="11"/>
      <c r="Q13" s="11"/>
      <c r="R13" s="11"/>
      <c r="S13" s="11"/>
      <c r="T13" s="11"/>
      <c r="U13" s="11"/>
      <c r="V13" s="11"/>
      <c r="W13" s="6">
        <v>14438081</v>
      </c>
      <c r="X13" s="6">
        <v>13064144</v>
      </c>
      <c r="Y13" s="34">
        <f t="shared" si="0"/>
        <v>4.7448848806123429</v>
      </c>
      <c r="Z13" s="34">
        <f t="shared" si="1"/>
        <v>4.610476289842401</v>
      </c>
    </row>
    <row r="14" spans="2:28" x14ac:dyDescent="0.2">
      <c r="B14" s="2">
        <v>10</v>
      </c>
      <c r="C14" s="2" t="s">
        <v>21</v>
      </c>
      <c r="D14" s="2" t="s">
        <v>22</v>
      </c>
      <c r="E14" s="2" t="s">
        <v>103</v>
      </c>
      <c r="F14" s="2" t="s">
        <v>103</v>
      </c>
      <c r="I14" s="11"/>
      <c r="J14" s="11">
        <v>1158131713</v>
      </c>
      <c r="K14" s="11"/>
      <c r="L14" s="11"/>
      <c r="M14" s="11"/>
      <c r="N14" s="11">
        <v>1110316505</v>
      </c>
      <c r="O14" s="11"/>
      <c r="P14" s="11"/>
      <c r="Q14" s="11"/>
      <c r="R14" s="11"/>
      <c r="S14" s="11"/>
      <c r="T14" s="11"/>
      <c r="U14" s="11"/>
      <c r="V14" s="11"/>
      <c r="W14" s="6">
        <v>70766827</v>
      </c>
      <c r="X14" s="6">
        <v>67380236</v>
      </c>
      <c r="Y14" s="34">
        <f t="shared" si="0"/>
        <v>6.1104299455445448</v>
      </c>
      <c r="Z14" s="34">
        <f t="shared" si="1"/>
        <v>6.0685611441937448</v>
      </c>
    </row>
    <row r="15" spans="2:28" x14ac:dyDescent="0.2">
      <c r="B15" s="2">
        <v>11</v>
      </c>
      <c r="C15" s="2" t="s">
        <v>25</v>
      </c>
      <c r="D15" s="2" t="s">
        <v>26</v>
      </c>
      <c r="E15" s="2" t="s">
        <v>103</v>
      </c>
      <c r="F15" s="2" t="s">
        <v>103</v>
      </c>
      <c r="I15" s="11"/>
      <c r="J15" s="11">
        <f>2678627532+138403149000</f>
        <v>141081776532</v>
      </c>
      <c r="K15" s="11"/>
      <c r="L15" s="11"/>
      <c r="M15" s="11"/>
      <c r="N15" s="11">
        <f>5553231327+138846551277</f>
        <v>144399782604</v>
      </c>
      <c r="O15" s="11"/>
      <c r="P15" s="11"/>
      <c r="Q15" s="11"/>
      <c r="R15" s="11"/>
      <c r="S15" s="11"/>
      <c r="T15" s="11"/>
      <c r="U15" s="11"/>
      <c r="V15" s="11"/>
      <c r="W15" s="6">
        <v>6207252806</v>
      </c>
      <c r="X15" s="6">
        <v>5512471519</v>
      </c>
      <c r="Y15" s="34">
        <f t="shared" si="0"/>
        <v>4.3997552048063975</v>
      </c>
      <c r="Z15" s="34">
        <f t="shared" si="1"/>
        <v>3.8175067992431311</v>
      </c>
    </row>
    <row r="16" spans="2:28" x14ac:dyDescent="0.2">
      <c r="B16" s="2">
        <v>12</v>
      </c>
      <c r="C16" s="2" t="s">
        <v>27</v>
      </c>
      <c r="D16" s="2" t="s">
        <v>28</v>
      </c>
      <c r="E16" s="2" t="s">
        <v>103</v>
      </c>
      <c r="F16" s="2" t="s">
        <v>103</v>
      </c>
      <c r="I16" s="11"/>
      <c r="J16" s="11">
        <f>1900154+9828</f>
        <v>1909982</v>
      </c>
      <c r="K16" s="11"/>
      <c r="L16" s="11"/>
      <c r="M16" s="11"/>
      <c r="N16" s="11">
        <f>2055472+6024</f>
        <v>2061496</v>
      </c>
      <c r="O16" s="11"/>
      <c r="P16" s="11"/>
      <c r="Q16" s="11"/>
      <c r="R16" s="11"/>
      <c r="S16" s="11"/>
      <c r="T16" s="11"/>
      <c r="U16" s="11"/>
      <c r="V16" s="11"/>
      <c r="W16" s="6">
        <v>266280</v>
      </c>
      <c r="X16" s="6">
        <v>220488</v>
      </c>
      <c r="Y16" s="34">
        <f t="shared" si="0"/>
        <v>13.941492642339037</v>
      </c>
      <c r="Z16" s="34">
        <f t="shared" si="1"/>
        <v>10.695533728903669</v>
      </c>
    </row>
    <row r="17" spans="2:26" x14ac:dyDescent="0.2">
      <c r="B17" s="2">
        <v>13</v>
      </c>
      <c r="C17" s="2" t="s">
        <v>29</v>
      </c>
      <c r="D17" s="2" t="s">
        <v>30</v>
      </c>
      <c r="E17" s="2" t="s">
        <v>103</v>
      </c>
      <c r="F17" s="2" t="s">
        <v>103</v>
      </c>
      <c r="I17" s="11"/>
      <c r="J17" s="11">
        <f>701286156+428950813</f>
        <v>1130236969</v>
      </c>
      <c r="K17" s="11"/>
      <c r="L17" s="11"/>
      <c r="M17" s="11"/>
      <c r="N17" s="11">
        <f>565724952+1100712354</f>
        <v>1666437306</v>
      </c>
      <c r="O17" s="11"/>
      <c r="P17" s="11"/>
      <c r="Q17" s="11"/>
      <c r="R17" s="11"/>
      <c r="S17" s="11"/>
      <c r="T17" s="11"/>
      <c r="U17" s="11"/>
      <c r="V17" s="11"/>
      <c r="W17" s="6">
        <f>86637678+1692969</f>
        <v>88330647</v>
      </c>
      <c r="X17" s="6">
        <f>5069403+92637374</f>
        <v>97706777</v>
      </c>
      <c r="Y17" s="34">
        <f t="shared" si="0"/>
        <v>7.8152325063435431</v>
      </c>
      <c r="Z17" s="34">
        <f t="shared" si="1"/>
        <v>5.8632134943335217</v>
      </c>
    </row>
    <row r="18" spans="2:26" x14ac:dyDescent="0.2">
      <c r="B18" s="2">
        <v>14</v>
      </c>
      <c r="C18" s="2" t="s">
        <v>31</v>
      </c>
      <c r="D18" s="2" t="s">
        <v>32</v>
      </c>
      <c r="E18" s="2" t="s">
        <v>103</v>
      </c>
      <c r="F18" s="2" t="s">
        <v>103</v>
      </c>
      <c r="I18" s="11"/>
      <c r="J18" s="11">
        <v>601487</v>
      </c>
      <c r="K18" s="11"/>
      <c r="L18" s="11"/>
      <c r="M18" s="11"/>
      <c r="N18" s="11">
        <v>564106</v>
      </c>
      <c r="O18" s="11"/>
      <c r="P18" s="11"/>
      <c r="Q18" s="11"/>
      <c r="R18" s="11"/>
      <c r="S18" s="11"/>
      <c r="T18" s="11"/>
      <c r="U18" s="11"/>
      <c r="V18" s="11"/>
      <c r="W18" s="6">
        <v>266050</v>
      </c>
      <c r="X18" s="6">
        <v>263103</v>
      </c>
      <c r="Y18" s="34">
        <f t="shared" si="0"/>
        <v>44.232044915351452</v>
      </c>
      <c r="Z18" s="34">
        <f t="shared" si="1"/>
        <v>46.640702279358841</v>
      </c>
    </row>
    <row r="19" spans="2:26" x14ac:dyDescent="0.2">
      <c r="B19" s="2">
        <v>15</v>
      </c>
      <c r="C19" s="2" t="s">
        <v>33</v>
      </c>
      <c r="D19" s="2" t="s">
        <v>34</v>
      </c>
      <c r="E19" s="2" t="s">
        <v>103</v>
      </c>
      <c r="F19" s="2" t="s">
        <v>103</v>
      </c>
      <c r="I19" s="11"/>
      <c r="J19" s="11">
        <v>2773872</v>
      </c>
      <c r="K19" s="11"/>
      <c r="L19" s="11"/>
      <c r="M19" s="11"/>
      <c r="N19" s="11">
        <v>2556127</v>
      </c>
      <c r="O19" s="11"/>
      <c r="P19" s="11"/>
      <c r="Q19" s="11"/>
      <c r="R19" s="11"/>
      <c r="S19" s="11"/>
      <c r="T19" s="11"/>
      <c r="U19" s="11"/>
      <c r="V19" s="11"/>
      <c r="W19" s="6">
        <v>0</v>
      </c>
      <c r="X19" s="6">
        <v>0</v>
      </c>
      <c r="Y19" s="34">
        <f t="shared" si="0"/>
        <v>0</v>
      </c>
      <c r="Z19" s="34">
        <f t="shared" si="1"/>
        <v>0</v>
      </c>
    </row>
    <row r="20" spans="2:26" x14ac:dyDescent="0.2">
      <c r="B20" s="2">
        <v>16</v>
      </c>
      <c r="C20" s="2" t="s">
        <v>35</v>
      </c>
      <c r="D20" s="2" t="s">
        <v>36</v>
      </c>
      <c r="E20" s="2" t="s">
        <v>103</v>
      </c>
      <c r="F20" s="2" t="s">
        <v>103</v>
      </c>
      <c r="I20" s="11"/>
      <c r="J20" s="11">
        <v>2420413</v>
      </c>
      <c r="K20" s="11"/>
      <c r="L20" s="11"/>
      <c r="M20" s="11"/>
      <c r="N20" s="11">
        <v>3678162</v>
      </c>
      <c r="O20" s="11"/>
      <c r="P20" s="11"/>
      <c r="Q20" s="11"/>
      <c r="R20" s="11"/>
      <c r="S20" s="11"/>
      <c r="T20" s="11"/>
      <c r="U20" s="11"/>
      <c r="V20" s="11"/>
      <c r="W20" s="6">
        <v>39620</v>
      </c>
      <c r="X20" s="6">
        <v>29840</v>
      </c>
      <c r="Y20" s="34">
        <f t="shared" si="0"/>
        <v>1.6369107255662567</v>
      </c>
      <c r="Z20" s="34">
        <f t="shared" si="1"/>
        <v>0.81127476168803869</v>
      </c>
    </row>
    <row r="21" spans="2:26" x14ac:dyDescent="0.2">
      <c r="B21" s="2">
        <v>17</v>
      </c>
      <c r="C21" s="2" t="s">
        <v>37</v>
      </c>
      <c r="D21" s="2" t="s">
        <v>38</v>
      </c>
      <c r="E21" s="2" t="s">
        <v>103</v>
      </c>
      <c r="F21" s="2" t="s">
        <v>103</v>
      </c>
      <c r="I21" s="11"/>
      <c r="J21" s="11">
        <f>3164990+3334347</f>
        <v>6499337</v>
      </c>
      <c r="K21" s="11"/>
      <c r="L21" s="11"/>
      <c r="M21" s="11"/>
      <c r="N21" s="11">
        <f>2480256+2893401</f>
        <v>5373657</v>
      </c>
      <c r="O21" s="11"/>
      <c r="P21" s="11"/>
      <c r="Q21" s="11"/>
      <c r="R21" s="11"/>
      <c r="S21" s="11"/>
      <c r="T21" s="11"/>
      <c r="U21" s="11"/>
      <c r="V21" s="11"/>
      <c r="W21" s="6">
        <v>98407</v>
      </c>
      <c r="X21" s="6">
        <v>100241</v>
      </c>
      <c r="Y21" s="34">
        <f t="shared" si="0"/>
        <v>1.5141082851989365</v>
      </c>
      <c r="Z21" s="34">
        <f t="shared" si="1"/>
        <v>1.8654149306515095</v>
      </c>
    </row>
    <row r="22" spans="2:26" x14ac:dyDescent="0.2">
      <c r="B22" s="2">
        <v>18</v>
      </c>
      <c r="C22" s="2" t="s">
        <v>39</v>
      </c>
      <c r="D22" s="2" t="s">
        <v>40</v>
      </c>
      <c r="E22" s="2" t="s">
        <v>103</v>
      </c>
      <c r="F22" s="2" t="s">
        <v>103</v>
      </c>
      <c r="I22" s="11"/>
      <c r="J22" s="11">
        <v>101987</v>
      </c>
      <c r="K22" s="11"/>
      <c r="L22" s="11"/>
      <c r="M22" s="11"/>
      <c r="N22" s="11">
        <v>60040</v>
      </c>
      <c r="O22" s="11"/>
      <c r="P22" s="11"/>
      <c r="Q22" s="11"/>
      <c r="R22" s="11"/>
      <c r="S22" s="11"/>
      <c r="T22" s="11"/>
      <c r="U22" s="11"/>
      <c r="V22" s="11"/>
      <c r="W22" s="6">
        <v>0</v>
      </c>
      <c r="X22" s="6">
        <v>0</v>
      </c>
      <c r="Y22" s="34">
        <f t="shared" si="0"/>
        <v>0</v>
      </c>
      <c r="Z22" s="34">
        <f t="shared" si="1"/>
        <v>0</v>
      </c>
    </row>
    <row r="23" spans="2:26" x14ac:dyDescent="0.2">
      <c r="B23" s="2">
        <v>19</v>
      </c>
      <c r="C23" s="2" t="s">
        <v>41</v>
      </c>
      <c r="D23" s="2" t="s">
        <v>42</v>
      </c>
      <c r="E23" s="2" t="s">
        <v>103</v>
      </c>
      <c r="F23" s="2" t="s">
        <v>103</v>
      </c>
      <c r="I23" s="11"/>
      <c r="J23" s="11">
        <f>6374269+1395975</f>
        <v>7770244</v>
      </c>
      <c r="K23" s="11"/>
      <c r="L23" s="11"/>
      <c r="M23" s="11"/>
      <c r="N23" s="11">
        <f>5507296+1113519</f>
        <v>6620815</v>
      </c>
      <c r="O23" s="11"/>
      <c r="P23" s="11"/>
      <c r="Q23" s="11"/>
      <c r="R23" s="11"/>
      <c r="S23" s="11"/>
      <c r="T23" s="11"/>
      <c r="U23" s="11"/>
      <c r="V23" s="11"/>
      <c r="W23" s="6">
        <v>144203</v>
      </c>
      <c r="X23" s="6">
        <v>191685</v>
      </c>
      <c r="Y23" s="34">
        <f t="shared" si="0"/>
        <v>1.855836187383562</v>
      </c>
      <c r="Z23" s="34">
        <f t="shared" si="1"/>
        <v>2.8951873749681876</v>
      </c>
    </row>
    <row r="24" spans="2:26" x14ac:dyDescent="0.2">
      <c r="B24" s="2">
        <v>20</v>
      </c>
      <c r="C24" s="2" t="s">
        <v>43</v>
      </c>
      <c r="D24" s="2" t="s">
        <v>44</v>
      </c>
      <c r="E24" s="2" t="s">
        <v>103</v>
      </c>
      <c r="F24" s="2" t="s">
        <v>103</v>
      </c>
      <c r="I24" s="11"/>
      <c r="J24" s="11">
        <f>491301+918307</f>
        <v>1409608</v>
      </c>
      <c r="K24" s="11"/>
      <c r="L24" s="11"/>
      <c r="M24" s="11"/>
      <c r="N24" s="11">
        <f>879062+418195</f>
        <v>1297257</v>
      </c>
      <c r="O24" s="11"/>
      <c r="P24" s="11"/>
      <c r="Q24" s="11"/>
      <c r="R24" s="11"/>
      <c r="S24" s="11"/>
      <c r="T24" s="11"/>
      <c r="U24" s="11"/>
      <c r="V24" s="11"/>
      <c r="W24" s="6">
        <v>3270</v>
      </c>
      <c r="X24" s="6">
        <v>2894</v>
      </c>
      <c r="Y24" s="34">
        <f t="shared" si="0"/>
        <v>0.23197938717714428</v>
      </c>
      <c r="Z24" s="34">
        <f t="shared" si="1"/>
        <v>0.22308609627853232</v>
      </c>
    </row>
    <row r="25" spans="2:26" x14ac:dyDescent="0.2">
      <c r="B25" s="2">
        <v>21</v>
      </c>
      <c r="C25" s="2" t="s">
        <v>45</v>
      </c>
      <c r="D25" s="2" t="s">
        <v>46</v>
      </c>
      <c r="E25" s="2" t="s">
        <v>103</v>
      </c>
      <c r="F25" s="2" t="s">
        <v>103</v>
      </c>
      <c r="I25" s="11"/>
      <c r="J25" s="11">
        <v>2829518</v>
      </c>
      <c r="K25" s="11"/>
      <c r="L25" s="11"/>
      <c r="M25" s="11"/>
      <c r="N25" s="11">
        <v>2824267</v>
      </c>
      <c r="O25" s="11"/>
      <c r="P25" s="11"/>
      <c r="Q25" s="11"/>
      <c r="R25" s="11"/>
      <c r="S25" s="11"/>
      <c r="T25" s="11"/>
      <c r="U25" s="11"/>
      <c r="V25" s="11"/>
      <c r="W25" s="6">
        <v>242726</v>
      </c>
      <c r="X25" s="6">
        <v>239615</v>
      </c>
      <c r="Y25" s="34">
        <f t="shared" si="0"/>
        <v>8.5783515072178371</v>
      </c>
      <c r="Z25" s="34">
        <f t="shared" si="1"/>
        <v>8.4841482763492273</v>
      </c>
    </row>
    <row r="26" spans="2:26" x14ac:dyDescent="0.2">
      <c r="B26" s="2">
        <v>22</v>
      </c>
      <c r="C26" s="2" t="s">
        <v>47</v>
      </c>
      <c r="D26" s="2" t="s">
        <v>48</v>
      </c>
      <c r="E26" s="2" t="s">
        <v>103</v>
      </c>
      <c r="F26" s="2" t="s">
        <v>103</v>
      </c>
      <c r="I26" s="11"/>
      <c r="J26" s="11">
        <f>11385+180325</f>
        <v>191710</v>
      </c>
      <c r="K26" s="11"/>
      <c r="L26" s="11"/>
      <c r="M26" s="11"/>
      <c r="N26" s="11">
        <f>8174+72772</f>
        <v>80946</v>
      </c>
      <c r="O26" s="11"/>
      <c r="P26" s="11"/>
      <c r="Q26" s="11"/>
      <c r="R26" s="11"/>
      <c r="S26" s="11"/>
      <c r="T26" s="11"/>
      <c r="U26" s="11"/>
      <c r="V26" s="11"/>
      <c r="W26" s="6">
        <v>4896</v>
      </c>
      <c r="X26" s="6">
        <v>6286</v>
      </c>
      <c r="Y26" s="34">
        <f t="shared" si="0"/>
        <v>2.5538573887642793</v>
      </c>
      <c r="Z26" s="34">
        <f t="shared" si="1"/>
        <v>7.7656709411212415</v>
      </c>
    </row>
    <row r="27" spans="2:26" x14ac:dyDescent="0.2">
      <c r="B27" s="2">
        <v>23</v>
      </c>
      <c r="C27" s="2" t="s">
        <v>49</v>
      </c>
      <c r="D27" s="2" t="s">
        <v>50</v>
      </c>
      <c r="E27" s="2" t="s">
        <v>103</v>
      </c>
      <c r="F27" s="2" t="s">
        <v>103</v>
      </c>
      <c r="I27" s="11"/>
      <c r="J27" s="11">
        <v>2487215</v>
      </c>
      <c r="K27" s="11"/>
      <c r="L27" s="11"/>
      <c r="M27" s="11"/>
      <c r="N27" s="11">
        <v>2011096</v>
      </c>
      <c r="O27" s="11"/>
      <c r="P27" s="11"/>
      <c r="Q27" s="11"/>
      <c r="R27" s="11"/>
      <c r="S27" s="11"/>
      <c r="T27" s="11"/>
      <c r="U27" s="11"/>
      <c r="V27" s="11"/>
      <c r="W27" s="6">
        <v>139406</v>
      </c>
      <c r="X27" s="6">
        <v>131080</v>
      </c>
      <c r="Y27" s="34">
        <f t="shared" si="0"/>
        <v>5.6049034763781975</v>
      </c>
      <c r="Z27" s="34">
        <f t="shared" si="1"/>
        <v>6.5178390290667378</v>
      </c>
    </row>
    <row r="28" spans="2:26" x14ac:dyDescent="0.2">
      <c r="B28" s="2">
        <v>24</v>
      </c>
      <c r="C28" s="2" t="s">
        <v>51</v>
      </c>
      <c r="D28" s="2" t="s">
        <v>52</v>
      </c>
      <c r="E28" s="2" t="s">
        <v>103</v>
      </c>
      <c r="F28" s="2" t="s">
        <v>103</v>
      </c>
      <c r="I28" s="11"/>
      <c r="J28" s="11">
        <f>2127411+1858535</f>
        <v>3985946</v>
      </c>
      <c r="K28" s="11"/>
      <c r="L28" s="11"/>
      <c r="M28" s="11"/>
      <c r="N28" s="11">
        <f>4609522+2232631</f>
        <v>6842153</v>
      </c>
      <c r="O28" s="11"/>
      <c r="P28" s="11"/>
      <c r="Q28" s="11"/>
      <c r="R28" s="11"/>
      <c r="S28" s="11"/>
      <c r="T28" s="11"/>
      <c r="U28" s="11"/>
      <c r="V28" s="11"/>
      <c r="W28" s="6">
        <v>95105</v>
      </c>
      <c r="X28" s="6">
        <v>191419</v>
      </c>
      <c r="Y28" s="34">
        <f t="shared" si="0"/>
        <v>2.3860082399510678</v>
      </c>
      <c r="Z28" s="34">
        <f t="shared" si="1"/>
        <v>2.797642788753774</v>
      </c>
    </row>
    <row r="29" spans="2:26" x14ac:dyDescent="0.2">
      <c r="B29" s="2">
        <v>25</v>
      </c>
      <c r="C29" s="2" t="s">
        <v>53</v>
      </c>
      <c r="D29" s="2" t="s">
        <v>54</v>
      </c>
      <c r="E29" s="2" t="s">
        <v>103</v>
      </c>
      <c r="F29" s="2" t="s">
        <v>103</v>
      </c>
      <c r="I29" s="11"/>
      <c r="J29" s="11">
        <f>3421180523978+34418386272</f>
        <v>3455598910250</v>
      </c>
      <c r="K29" s="11"/>
      <c r="L29" s="11"/>
      <c r="M29" s="11"/>
      <c r="N29" s="11">
        <f>43173956944+3457939160793</f>
        <v>3501113117737</v>
      </c>
      <c r="O29" s="11"/>
      <c r="P29" s="11"/>
      <c r="Q29" s="11"/>
      <c r="R29" s="11"/>
      <c r="S29" s="11"/>
      <c r="T29" s="11"/>
      <c r="U29" s="11"/>
      <c r="V29" s="11"/>
      <c r="W29" s="6">
        <v>24580811037</v>
      </c>
      <c r="X29" s="6">
        <v>23892355121</v>
      </c>
      <c r="Y29" s="34">
        <f t="shared" si="0"/>
        <v>0.71133287384969301</v>
      </c>
      <c r="Z29" s="34">
        <f t="shared" si="1"/>
        <v>0.68242168469104481</v>
      </c>
    </row>
    <row r="30" spans="2:26" x14ac:dyDescent="0.2">
      <c r="B30" s="2">
        <v>26</v>
      </c>
      <c r="C30" s="2" t="s">
        <v>55</v>
      </c>
      <c r="D30" s="2" t="s">
        <v>56</v>
      </c>
      <c r="E30" s="2" t="s">
        <v>103</v>
      </c>
      <c r="F30" s="2" t="s">
        <v>103</v>
      </c>
      <c r="I30" s="11"/>
      <c r="J30" s="11">
        <v>592526</v>
      </c>
      <c r="K30" s="11"/>
      <c r="L30" s="11"/>
      <c r="M30" s="11"/>
      <c r="N30" s="11">
        <v>2053374</v>
      </c>
      <c r="O30" s="11"/>
      <c r="P30" s="11"/>
      <c r="Q30" s="11"/>
      <c r="R30" s="11"/>
      <c r="S30" s="11"/>
      <c r="T30" s="11"/>
      <c r="U30" s="11"/>
      <c r="V30" s="11"/>
      <c r="W30" s="6">
        <v>0</v>
      </c>
      <c r="X30" s="6">
        <v>0</v>
      </c>
      <c r="Y30" s="34">
        <f t="shared" si="0"/>
        <v>0</v>
      </c>
      <c r="Z30" s="34">
        <f t="shared" si="1"/>
        <v>0</v>
      </c>
    </row>
    <row r="31" spans="2:26" x14ac:dyDescent="0.2">
      <c r="B31" s="2">
        <v>27</v>
      </c>
      <c r="C31" s="2" t="s">
        <v>59</v>
      </c>
      <c r="D31" s="2" t="s">
        <v>60</v>
      </c>
      <c r="E31" s="2" t="s">
        <v>103</v>
      </c>
      <c r="F31" s="2" t="s">
        <v>103</v>
      </c>
      <c r="I31" s="11"/>
      <c r="J31" s="11">
        <v>269060830159</v>
      </c>
      <c r="K31" s="11"/>
      <c r="L31" s="11"/>
      <c r="M31" s="11"/>
      <c r="N31" s="11">
        <f>651458462918+133595959</f>
        <v>651592058877</v>
      </c>
      <c r="O31" s="11"/>
      <c r="P31" s="11"/>
      <c r="Q31" s="11"/>
      <c r="R31" s="11"/>
      <c r="S31" s="11"/>
      <c r="T31" s="11"/>
      <c r="U31" s="11"/>
      <c r="V31" s="11"/>
      <c r="W31" s="6">
        <v>9993065920</v>
      </c>
      <c r="X31" s="6">
        <v>5903286317</v>
      </c>
      <c r="Y31" s="34">
        <f t="shared" si="0"/>
        <v>3.7140545184873823</v>
      </c>
      <c r="Z31" s="34">
        <f t="shared" si="1"/>
        <v>0.90597886155551721</v>
      </c>
    </row>
    <row r="32" spans="2:26" x14ac:dyDescent="0.2">
      <c r="B32" s="2">
        <v>28</v>
      </c>
      <c r="C32" s="2" t="s">
        <v>61</v>
      </c>
      <c r="D32" s="2" t="s">
        <v>62</v>
      </c>
      <c r="E32" s="2" t="s">
        <v>103</v>
      </c>
      <c r="F32" s="2" t="s">
        <v>103</v>
      </c>
      <c r="I32" s="11"/>
      <c r="J32" s="11">
        <f>81280+465044</f>
        <v>546324</v>
      </c>
      <c r="K32" s="11"/>
      <c r="L32" s="11"/>
      <c r="M32" s="11"/>
      <c r="N32" s="11">
        <f>94649+339719</f>
        <v>434368</v>
      </c>
      <c r="O32" s="11"/>
      <c r="P32" s="11"/>
      <c r="Q32" s="11"/>
      <c r="R32" s="11"/>
      <c r="S32" s="11"/>
      <c r="T32" s="11"/>
      <c r="U32" s="11"/>
      <c r="V32" s="11"/>
      <c r="W32" s="6">
        <v>1196</v>
      </c>
      <c r="X32" s="6">
        <v>1196</v>
      </c>
      <c r="Y32" s="34">
        <f t="shared" si="0"/>
        <v>0.21891771183400327</v>
      </c>
      <c r="Z32" s="34">
        <f t="shared" si="1"/>
        <v>0.27534256667157803</v>
      </c>
    </row>
    <row r="33" spans="2:26" x14ac:dyDescent="0.2">
      <c r="B33" s="2">
        <v>29</v>
      </c>
      <c r="C33" s="2" t="s">
        <v>63</v>
      </c>
      <c r="D33" s="2" t="s">
        <v>64</v>
      </c>
      <c r="E33" s="2" t="s">
        <v>103</v>
      </c>
      <c r="F33" s="2" t="s">
        <v>103</v>
      </c>
      <c r="I33" s="11"/>
      <c r="J33" s="11">
        <v>604665483</v>
      </c>
      <c r="K33" s="11"/>
      <c r="L33" s="11"/>
      <c r="M33" s="11"/>
      <c r="N33" s="11">
        <v>655986519</v>
      </c>
      <c r="O33" s="11"/>
      <c r="P33" s="11"/>
      <c r="Q33" s="11"/>
      <c r="R33" s="11"/>
      <c r="S33" s="11"/>
      <c r="T33" s="11"/>
      <c r="U33" s="11"/>
      <c r="V33" s="11"/>
      <c r="W33" s="6">
        <v>131934092</v>
      </c>
      <c r="X33" s="6">
        <v>109197477</v>
      </c>
      <c r="Y33" s="34">
        <f t="shared" si="0"/>
        <v>21.819352304586566</v>
      </c>
      <c r="Z33" s="34">
        <f t="shared" si="1"/>
        <v>16.646298946274534</v>
      </c>
    </row>
    <row r="34" spans="2:26" x14ac:dyDescent="0.2">
      <c r="B34" s="2">
        <v>30</v>
      </c>
      <c r="C34" s="2" t="s">
        <v>65</v>
      </c>
      <c r="D34" s="2" t="s">
        <v>66</v>
      </c>
      <c r="E34" s="2" t="s">
        <v>103</v>
      </c>
      <c r="F34" s="2" t="s">
        <v>103</v>
      </c>
      <c r="I34" s="11"/>
      <c r="J34" s="11">
        <v>3739210</v>
      </c>
      <c r="K34" s="11"/>
      <c r="L34" s="11"/>
      <c r="M34" s="11"/>
      <c r="N34" s="11">
        <v>2215258</v>
      </c>
      <c r="O34" s="11"/>
      <c r="P34" s="11"/>
      <c r="Q34" s="11"/>
      <c r="R34" s="11"/>
      <c r="S34" s="11"/>
      <c r="T34" s="11"/>
      <c r="U34" s="11"/>
      <c r="V34" s="11"/>
      <c r="W34" s="6">
        <v>225534</v>
      </c>
      <c r="X34" s="6">
        <v>229641</v>
      </c>
      <c r="Y34" s="34">
        <f t="shared" si="0"/>
        <v>6.031594909085074</v>
      </c>
      <c r="Z34" s="34">
        <f t="shared" si="1"/>
        <v>10.366332048005242</v>
      </c>
    </row>
    <row r="35" spans="2:26" x14ac:dyDescent="0.2">
      <c r="B35" s="2">
        <v>31</v>
      </c>
      <c r="C35" s="2" t="s">
        <v>67</v>
      </c>
      <c r="D35" s="2" t="s">
        <v>68</v>
      </c>
      <c r="E35" s="2" t="s">
        <v>103</v>
      </c>
      <c r="F35" s="2" t="s">
        <v>103</v>
      </c>
      <c r="I35" s="11"/>
      <c r="J35" s="11">
        <v>7305897385196</v>
      </c>
      <c r="K35" s="11"/>
      <c r="L35" s="11"/>
      <c r="M35" s="11"/>
      <c r="N35" s="11">
        <v>6186424170400</v>
      </c>
      <c r="O35" s="11"/>
      <c r="P35" s="11"/>
      <c r="Q35" s="11"/>
      <c r="R35" s="11"/>
      <c r="S35" s="11"/>
      <c r="T35" s="11"/>
      <c r="U35" s="11"/>
      <c r="V35" s="11"/>
      <c r="W35" s="6">
        <v>1078803775641</v>
      </c>
      <c r="X35" s="6">
        <v>991639721245</v>
      </c>
      <c r="Y35" s="34">
        <f t="shared" si="0"/>
        <v>14.766204872066627</v>
      </c>
      <c r="Z35" s="34">
        <f t="shared" si="1"/>
        <v>16.029287580855982</v>
      </c>
    </row>
    <row r="36" spans="2:26" x14ac:dyDescent="0.2">
      <c r="B36" s="2">
        <v>32</v>
      </c>
      <c r="C36" s="2" t="s">
        <v>69</v>
      </c>
      <c r="D36" s="2" t="s">
        <v>70</v>
      </c>
      <c r="E36" s="2" t="s">
        <v>103</v>
      </c>
      <c r="F36" s="2" t="s">
        <v>103</v>
      </c>
      <c r="I36" s="11"/>
      <c r="J36" s="11">
        <v>108147362</v>
      </c>
      <c r="K36" s="11"/>
      <c r="L36" s="11"/>
      <c r="M36" s="11"/>
      <c r="N36" s="11">
        <v>102072904</v>
      </c>
      <c r="O36" s="11"/>
      <c r="P36" s="11"/>
      <c r="Q36" s="11"/>
      <c r="R36" s="11"/>
      <c r="S36" s="11"/>
      <c r="T36" s="11"/>
      <c r="U36" s="11"/>
      <c r="V36" s="11"/>
      <c r="W36" s="6">
        <v>2319187</v>
      </c>
      <c r="X36" s="6">
        <v>149325</v>
      </c>
      <c r="Y36" s="34">
        <f t="shared" si="0"/>
        <v>2.1444693214061012</v>
      </c>
      <c r="Z36" s="34">
        <f t="shared" si="1"/>
        <v>0.14629249697843416</v>
      </c>
    </row>
    <row r="37" spans="2:26" x14ac:dyDescent="0.2">
      <c r="B37" s="2">
        <v>33</v>
      </c>
      <c r="C37" s="2" t="s">
        <v>71</v>
      </c>
      <c r="D37" s="2" t="s">
        <v>72</v>
      </c>
      <c r="E37" s="2" t="s">
        <v>103</v>
      </c>
      <c r="F37" s="2" t="s">
        <v>103</v>
      </c>
      <c r="I37" s="11"/>
      <c r="J37" s="11">
        <v>6454652</v>
      </c>
      <c r="K37" s="11"/>
      <c r="L37" s="11"/>
      <c r="M37" s="11"/>
      <c r="N37" s="11">
        <v>6568427</v>
      </c>
      <c r="O37" s="11"/>
      <c r="P37" s="11"/>
      <c r="Q37" s="11"/>
      <c r="R37" s="11"/>
      <c r="S37" s="11"/>
      <c r="T37" s="11"/>
      <c r="U37" s="11"/>
      <c r="V37" s="11"/>
      <c r="W37" s="6">
        <v>941820</v>
      </c>
      <c r="X37" s="6">
        <v>791173</v>
      </c>
      <c r="Y37" s="34">
        <f t="shared" si="0"/>
        <v>14.591336604978858</v>
      </c>
      <c r="Z37" s="34">
        <f t="shared" si="1"/>
        <v>12.045090856608439</v>
      </c>
    </row>
    <row r="38" spans="2:26" x14ac:dyDescent="0.2">
      <c r="B38" s="2">
        <v>34</v>
      </c>
      <c r="C38" s="2" t="s">
        <v>139</v>
      </c>
      <c r="D38" s="2" t="s">
        <v>140</v>
      </c>
      <c r="E38" s="2" t="s">
        <v>103</v>
      </c>
      <c r="F38" s="2" t="s">
        <v>103</v>
      </c>
      <c r="I38" s="11"/>
      <c r="J38" s="11">
        <f>289360900+6225173</f>
        <v>295586073</v>
      </c>
      <c r="K38" s="11"/>
      <c r="L38" s="11"/>
      <c r="M38" s="11"/>
      <c r="N38" s="11">
        <f>4931457+304354692</f>
        <v>309286149</v>
      </c>
      <c r="O38" s="11"/>
      <c r="P38" s="11"/>
      <c r="Q38" s="11"/>
      <c r="R38" s="11"/>
      <c r="S38" s="11"/>
      <c r="T38" s="11"/>
      <c r="U38" s="11"/>
      <c r="V38" s="11"/>
      <c r="W38" s="6">
        <v>14801132</v>
      </c>
      <c r="X38" s="6">
        <f>1617194+60181</f>
        <v>1677375</v>
      </c>
      <c r="Y38" s="34">
        <f t="shared" si="0"/>
        <v>5.0073847694441271</v>
      </c>
      <c r="Z38" s="34">
        <f t="shared" si="1"/>
        <v>0.54233757490381507</v>
      </c>
    </row>
    <row r="39" spans="2:26" x14ac:dyDescent="0.2">
      <c r="B39" s="2">
        <v>35</v>
      </c>
      <c r="C39" s="2" t="s">
        <v>73</v>
      </c>
      <c r="D39" s="2" t="s">
        <v>74</v>
      </c>
      <c r="E39" s="2" t="s">
        <v>103</v>
      </c>
      <c r="F39" s="2" t="s">
        <v>103</v>
      </c>
      <c r="I39" s="11"/>
      <c r="J39" s="11">
        <f>552729+76589</f>
        <v>629318</v>
      </c>
      <c r="K39" s="11"/>
      <c r="L39" s="11"/>
      <c r="M39" s="11"/>
      <c r="N39" s="11">
        <f>279996+714952</f>
        <v>994948</v>
      </c>
      <c r="O39" s="11"/>
      <c r="P39" s="11"/>
      <c r="Q39" s="11"/>
      <c r="R39" s="11"/>
      <c r="S39" s="11"/>
      <c r="T39" s="11"/>
      <c r="U39" s="11"/>
      <c r="V39" s="11"/>
      <c r="W39" s="6">
        <f>14014+1083</f>
        <v>15097</v>
      </c>
      <c r="X39" s="6">
        <f>17111+4230</f>
        <v>21341</v>
      </c>
      <c r="Y39" s="34">
        <f t="shared" si="0"/>
        <v>2.3989461607645102</v>
      </c>
      <c r="Z39" s="34">
        <f t="shared" si="1"/>
        <v>2.1449362177721851</v>
      </c>
    </row>
    <row r="40" spans="2:26" x14ac:dyDescent="0.2">
      <c r="B40" s="2">
        <v>36</v>
      </c>
      <c r="C40" s="2" t="s">
        <v>77</v>
      </c>
      <c r="D40" s="2" t="s">
        <v>78</v>
      </c>
      <c r="E40" s="2" t="s">
        <v>103</v>
      </c>
      <c r="F40" s="2" t="s">
        <v>103</v>
      </c>
      <c r="I40" s="11"/>
      <c r="J40" s="11">
        <f>62749+82+1013+1353</f>
        <v>65197</v>
      </c>
      <c r="K40" s="11"/>
      <c r="L40" s="11"/>
      <c r="M40" s="11"/>
      <c r="N40" s="11">
        <f>85153+3+2040</f>
        <v>87196</v>
      </c>
      <c r="O40" s="11"/>
      <c r="P40" s="11"/>
      <c r="Q40" s="11"/>
      <c r="R40" s="11"/>
      <c r="S40" s="11"/>
      <c r="T40" s="11"/>
      <c r="U40" s="11"/>
      <c r="V40" s="11"/>
      <c r="W40" s="6">
        <v>17336</v>
      </c>
      <c r="X40" s="6">
        <v>18078</v>
      </c>
      <c r="Y40" s="34">
        <f t="shared" si="0"/>
        <v>26.59018052977898</v>
      </c>
      <c r="Z40" s="34">
        <f t="shared" si="1"/>
        <v>20.732602412954723</v>
      </c>
    </row>
    <row r="41" spans="2:26" x14ac:dyDescent="0.2">
      <c r="B41" s="2">
        <v>37</v>
      </c>
      <c r="C41" s="2" t="s">
        <v>79</v>
      </c>
      <c r="D41" s="2" t="s">
        <v>80</v>
      </c>
      <c r="E41" s="2" t="s">
        <v>103</v>
      </c>
      <c r="F41" s="2" t="s">
        <v>103</v>
      </c>
      <c r="I41" s="11"/>
      <c r="J41" s="11">
        <v>16312</v>
      </c>
      <c r="K41" s="11"/>
      <c r="L41" s="11"/>
      <c r="M41" s="11"/>
      <c r="N41" s="11">
        <v>19699</v>
      </c>
      <c r="O41" s="11"/>
      <c r="P41" s="11"/>
      <c r="Q41" s="11"/>
      <c r="R41" s="11"/>
      <c r="S41" s="11"/>
      <c r="T41" s="11"/>
      <c r="U41" s="11"/>
      <c r="V41" s="11"/>
      <c r="W41" s="6">
        <v>7802</v>
      </c>
      <c r="X41" s="6">
        <v>8360</v>
      </c>
      <c r="Y41" s="34">
        <f t="shared" si="0"/>
        <v>47.829818538499261</v>
      </c>
      <c r="Z41" s="34">
        <f t="shared" si="1"/>
        <v>42.438702472206714</v>
      </c>
    </row>
    <row r="42" spans="2:26" x14ac:dyDescent="0.2">
      <c r="B42" s="2">
        <v>38</v>
      </c>
      <c r="C42" s="2" t="s">
        <v>81</v>
      </c>
      <c r="D42" s="2" t="s">
        <v>82</v>
      </c>
      <c r="E42" s="2" t="s">
        <v>103</v>
      </c>
      <c r="F42" s="2" t="s">
        <v>103</v>
      </c>
      <c r="I42" s="11"/>
      <c r="J42" s="11">
        <v>2269848</v>
      </c>
      <c r="K42" s="11"/>
      <c r="L42" s="11"/>
      <c r="M42" s="11"/>
      <c r="N42" s="11">
        <v>1348589</v>
      </c>
      <c r="O42" s="11"/>
      <c r="P42" s="11"/>
      <c r="Q42" s="11"/>
      <c r="R42" s="11"/>
      <c r="S42" s="11"/>
      <c r="T42" s="11"/>
      <c r="U42" s="11"/>
      <c r="V42" s="11"/>
      <c r="W42" s="6">
        <v>98552</v>
      </c>
      <c r="X42" s="6">
        <v>108520</v>
      </c>
      <c r="Y42" s="34">
        <f t="shared" si="0"/>
        <v>4.3417885250466108</v>
      </c>
      <c r="Z42" s="34">
        <f t="shared" si="1"/>
        <v>8.0469290495473409</v>
      </c>
    </row>
    <row r="43" spans="2:26" x14ac:dyDescent="0.2">
      <c r="B43" s="2">
        <v>39</v>
      </c>
      <c r="C43" s="2" t="s">
        <v>85</v>
      </c>
      <c r="D43" s="2" t="s">
        <v>86</v>
      </c>
      <c r="E43" s="2" t="s">
        <v>103</v>
      </c>
      <c r="F43" s="2" t="s">
        <v>103</v>
      </c>
      <c r="I43" s="11"/>
      <c r="J43" s="11">
        <v>12696372</v>
      </c>
      <c r="K43" s="11"/>
      <c r="L43" s="11"/>
      <c r="M43" s="11"/>
      <c r="N43" s="11">
        <v>10004094</v>
      </c>
      <c r="O43" s="11"/>
      <c r="P43" s="11"/>
      <c r="Q43" s="11"/>
      <c r="R43" s="11"/>
      <c r="S43" s="11"/>
      <c r="T43" s="11"/>
      <c r="U43" s="11"/>
      <c r="V43" s="11"/>
      <c r="W43" s="6">
        <v>865595</v>
      </c>
      <c r="X43" s="6">
        <v>662863</v>
      </c>
      <c r="Y43" s="34">
        <f t="shared" si="0"/>
        <v>6.8176562564486929</v>
      </c>
      <c r="Z43" s="34">
        <f t="shared" si="1"/>
        <v>6.6259173494371408</v>
      </c>
    </row>
    <row r="44" spans="2:26" x14ac:dyDescent="0.2">
      <c r="B44" s="2">
        <v>40</v>
      </c>
      <c r="C44" s="2" t="s">
        <v>87</v>
      </c>
      <c r="D44" s="2" t="s">
        <v>88</v>
      </c>
      <c r="E44" s="2" t="s">
        <v>103</v>
      </c>
      <c r="F44" s="2" t="s">
        <v>103</v>
      </c>
      <c r="I44" s="11"/>
      <c r="J44" s="11">
        <v>4708724</v>
      </c>
      <c r="K44" s="11"/>
      <c r="L44" s="11"/>
      <c r="M44" s="11"/>
      <c r="N44" s="11">
        <v>5449574</v>
      </c>
      <c r="O44" s="11"/>
      <c r="P44" s="11"/>
      <c r="Q44" s="11"/>
      <c r="R44" s="11"/>
      <c r="S44" s="11"/>
      <c r="T44" s="11"/>
      <c r="U44" s="11"/>
      <c r="V44" s="11"/>
      <c r="W44" s="6">
        <v>192169</v>
      </c>
      <c r="X44" s="6">
        <v>154286</v>
      </c>
      <c r="Y44" s="34">
        <f t="shared" si="0"/>
        <v>4.0811268615446563</v>
      </c>
      <c r="Z44" s="34">
        <f t="shared" si="1"/>
        <v>2.8311570775990931</v>
      </c>
    </row>
    <row r="45" spans="2:26" x14ac:dyDescent="0.2">
      <c r="B45" s="2">
        <v>41</v>
      </c>
      <c r="C45" s="2" t="s">
        <v>89</v>
      </c>
      <c r="D45" s="2" t="s">
        <v>90</v>
      </c>
      <c r="E45" s="2" t="s">
        <v>103</v>
      </c>
      <c r="F45" s="2" t="s">
        <v>103</v>
      </c>
      <c r="I45" s="11"/>
      <c r="J45" s="11">
        <v>8716517815</v>
      </c>
      <c r="K45" s="11"/>
      <c r="L45" s="11"/>
      <c r="M45" s="11"/>
      <c r="N45" s="11">
        <v>9596558543</v>
      </c>
      <c r="O45" s="11"/>
      <c r="P45" s="11"/>
      <c r="Q45" s="11"/>
      <c r="R45" s="11"/>
      <c r="S45" s="11"/>
      <c r="T45" s="11"/>
      <c r="U45" s="11"/>
      <c r="V45" s="11"/>
      <c r="W45" s="6">
        <v>1125198030</v>
      </c>
      <c r="X45" s="6">
        <v>1447183409</v>
      </c>
      <c r="Y45" s="34">
        <f t="shared" si="0"/>
        <v>12.908802045510418</v>
      </c>
      <c r="Z45" s="34">
        <f t="shared" si="1"/>
        <v>15.08023321605865</v>
      </c>
    </row>
    <row r="46" spans="2:26" x14ac:dyDescent="0.2">
      <c r="B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Y46" s="33">
        <f>AVERAGE(Y5:Y45)</f>
        <v>7.9527312260732481</v>
      </c>
      <c r="Z46" s="33">
        <f>AVERAGE(Z5:Z45)</f>
        <v>7.4441427587820703</v>
      </c>
    </row>
    <row r="47" spans="2:26" x14ac:dyDescent="0.2">
      <c r="B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6" x14ac:dyDescent="0.2"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</sheetData>
  <mergeCells count="5">
    <mergeCell ref="W3:AA3"/>
    <mergeCell ref="G3:J3"/>
    <mergeCell ref="K3:N3"/>
    <mergeCell ref="O3:R3"/>
    <mergeCell ref="S3:V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400A-0F9C-7544-A109-07368E836A77}">
  <dimension ref="B1:AF46"/>
  <sheetViews>
    <sheetView topLeftCell="P1" workbookViewId="0">
      <selection activeCell="H8" sqref="H8:I8"/>
    </sheetView>
  </sheetViews>
  <sheetFormatPr baseColWidth="10" defaultRowHeight="16" x14ac:dyDescent="0.2"/>
  <cols>
    <col min="3" max="3" width="32.6640625" bestFit="1" customWidth="1"/>
    <col min="6" max="6" width="39.83203125" customWidth="1"/>
    <col min="9" max="9" width="39.83203125" customWidth="1"/>
    <col min="12" max="12" width="39.83203125" customWidth="1"/>
    <col min="19" max="19" width="32.6640625" customWidth="1"/>
    <col min="20" max="20" width="0" hidden="1" customWidth="1"/>
    <col min="21" max="21" width="45.5" hidden="1" customWidth="1"/>
    <col min="22" max="22" width="2" customWidth="1"/>
    <col min="23" max="23" width="10.83203125" customWidth="1"/>
    <col min="24" max="24" width="40.6640625" bestFit="1" customWidth="1"/>
    <col min="27" max="27" width="32.6640625" bestFit="1" customWidth="1"/>
  </cols>
  <sheetData>
    <row r="1" spans="2:32" x14ac:dyDescent="0.2">
      <c r="B1" s="76" t="s">
        <v>169</v>
      </c>
      <c r="C1" s="76"/>
      <c r="E1" s="76" t="s">
        <v>168</v>
      </c>
      <c r="F1" s="76"/>
      <c r="H1" s="76" t="s">
        <v>563</v>
      </c>
      <c r="I1" s="76"/>
      <c r="K1" s="76" t="s">
        <v>564</v>
      </c>
      <c r="L1" s="76"/>
      <c r="R1" t="s">
        <v>619</v>
      </c>
      <c r="W1" t="s">
        <v>620</v>
      </c>
      <c r="Z1" t="s">
        <v>621</v>
      </c>
      <c r="AE1" t="s">
        <v>673</v>
      </c>
    </row>
    <row r="2" spans="2:32" x14ac:dyDescent="0.2">
      <c r="B2" t="s">
        <v>3</v>
      </c>
      <c r="C2" t="s">
        <v>104</v>
      </c>
      <c r="D2">
        <v>1</v>
      </c>
      <c r="E2" t="s">
        <v>3</v>
      </c>
      <c r="F2" t="s">
        <v>104</v>
      </c>
      <c r="H2" t="s">
        <v>5</v>
      </c>
      <c r="I2" t="s">
        <v>105</v>
      </c>
      <c r="K2" s="9" t="s">
        <v>565</v>
      </c>
      <c r="L2" s="9" t="s">
        <v>569</v>
      </c>
      <c r="Q2">
        <v>1</v>
      </c>
      <c r="R2" s="9" t="s">
        <v>3</v>
      </c>
      <c r="S2" s="9" t="s">
        <v>104</v>
      </c>
      <c r="T2" t="s">
        <v>3</v>
      </c>
      <c r="U2" t="s">
        <v>4</v>
      </c>
      <c r="W2" t="s">
        <v>5</v>
      </c>
      <c r="X2" t="s">
        <v>105</v>
      </c>
      <c r="Z2" t="s">
        <v>5</v>
      </c>
      <c r="AA2" t="s">
        <v>105</v>
      </c>
      <c r="AE2" t="s">
        <v>650</v>
      </c>
      <c r="AF2" t="s">
        <v>643</v>
      </c>
    </row>
    <row r="3" spans="2:32" x14ac:dyDescent="0.2">
      <c r="B3" t="s">
        <v>5</v>
      </c>
      <c r="C3" t="s">
        <v>105</v>
      </c>
      <c r="D3">
        <v>1</v>
      </c>
      <c r="E3" t="s">
        <v>5</v>
      </c>
      <c r="F3" t="s">
        <v>105</v>
      </c>
      <c r="H3" t="s">
        <v>7</v>
      </c>
      <c r="I3" t="s">
        <v>106</v>
      </c>
      <c r="K3" t="s">
        <v>5</v>
      </c>
      <c r="L3" t="s">
        <v>570</v>
      </c>
      <c r="Q3">
        <v>2</v>
      </c>
      <c r="R3" t="s">
        <v>5</v>
      </c>
      <c r="S3" t="s">
        <v>105</v>
      </c>
      <c r="T3" t="s">
        <v>5</v>
      </c>
      <c r="U3" t="s">
        <v>6</v>
      </c>
      <c r="W3" t="s">
        <v>7</v>
      </c>
      <c r="X3" t="s">
        <v>106</v>
      </c>
      <c r="Z3" t="s">
        <v>7</v>
      </c>
      <c r="AA3" t="s">
        <v>106</v>
      </c>
      <c r="AE3" t="s">
        <v>565</v>
      </c>
      <c r="AF3" t="s">
        <v>651</v>
      </c>
    </row>
    <row r="4" spans="2:32" x14ac:dyDescent="0.2">
      <c r="B4" t="s">
        <v>7</v>
      </c>
      <c r="C4" t="s">
        <v>106</v>
      </c>
      <c r="D4">
        <v>1</v>
      </c>
      <c r="E4" t="s">
        <v>7</v>
      </c>
      <c r="F4" t="s">
        <v>106</v>
      </c>
      <c r="H4" t="s">
        <v>9</v>
      </c>
      <c r="I4" t="s">
        <v>152</v>
      </c>
      <c r="K4" t="s">
        <v>7</v>
      </c>
      <c r="L4" t="s">
        <v>571</v>
      </c>
      <c r="Q4">
        <v>3</v>
      </c>
      <c r="R4" t="s">
        <v>7</v>
      </c>
      <c r="S4" t="s">
        <v>106</v>
      </c>
      <c r="T4" t="s">
        <v>7</v>
      </c>
      <c r="U4" t="s">
        <v>8</v>
      </c>
      <c r="W4" t="s">
        <v>9</v>
      </c>
      <c r="X4" t="s">
        <v>152</v>
      </c>
      <c r="Z4" t="s">
        <v>9</v>
      </c>
      <c r="AA4" t="s">
        <v>107</v>
      </c>
      <c r="AE4" t="s">
        <v>5</v>
      </c>
      <c r="AF4" t="s">
        <v>570</v>
      </c>
    </row>
    <row r="5" spans="2:32" x14ac:dyDescent="0.2">
      <c r="B5" t="s">
        <v>9</v>
      </c>
      <c r="C5" t="s">
        <v>107</v>
      </c>
      <c r="D5">
        <v>1</v>
      </c>
      <c r="E5" t="s">
        <v>9</v>
      </c>
      <c r="F5" t="s">
        <v>152</v>
      </c>
      <c r="H5" t="s">
        <v>11</v>
      </c>
      <c r="I5" t="s">
        <v>108</v>
      </c>
      <c r="K5" t="s">
        <v>9</v>
      </c>
      <c r="L5" t="s">
        <v>152</v>
      </c>
      <c r="Q5">
        <v>4</v>
      </c>
      <c r="R5" t="s">
        <v>9</v>
      </c>
      <c r="S5" t="s">
        <v>107</v>
      </c>
      <c r="T5" t="s">
        <v>9</v>
      </c>
      <c r="U5" t="s">
        <v>10</v>
      </c>
      <c r="W5" t="s">
        <v>11</v>
      </c>
      <c r="X5" t="s">
        <v>108</v>
      </c>
      <c r="Z5" t="s">
        <v>11</v>
      </c>
      <c r="AA5" t="s">
        <v>108</v>
      </c>
      <c r="AE5" t="s">
        <v>7</v>
      </c>
      <c r="AF5" t="s">
        <v>571</v>
      </c>
    </row>
    <row r="6" spans="2:32" x14ac:dyDescent="0.2">
      <c r="B6" t="s">
        <v>11</v>
      </c>
      <c r="C6" t="s">
        <v>108</v>
      </c>
      <c r="D6">
        <v>1</v>
      </c>
      <c r="E6" t="s">
        <v>11</v>
      </c>
      <c r="F6" t="s">
        <v>108</v>
      </c>
      <c r="H6" t="s">
        <v>13</v>
      </c>
      <c r="I6" t="s">
        <v>109</v>
      </c>
      <c r="K6" t="s">
        <v>11</v>
      </c>
      <c r="L6" t="s">
        <v>572</v>
      </c>
      <c r="Q6">
        <v>5</v>
      </c>
      <c r="R6" t="s">
        <v>11</v>
      </c>
      <c r="S6" t="s">
        <v>108</v>
      </c>
      <c r="T6" t="s">
        <v>11</v>
      </c>
      <c r="U6" t="s">
        <v>12</v>
      </c>
      <c r="W6" t="s">
        <v>13</v>
      </c>
      <c r="X6" t="s">
        <v>109</v>
      </c>
      <c r="Z6" t="s">
        <v>13</v>
      </c>
      <c r="AA6" t="s">
        <v>109</v>
      </c>
      <c r="AE6" t="s">
        <v>9</v>
      </c>
      <c r="AF6" t="s">
        <v>152</v>
      </c>
    </row>
    <row r="7" spans="2:32" x14ac:dyDescent="0.2">
      <c r="B7" t="s">
        <v>13</v>
      </c>
      <c r="C7" t="s">
        <v>109</v>
      </c>
      <c r="D7">
        <v>1</v>
      </c>
      <c r="E7" t="s">
        <v>13</v>
      </c>
      <c r="F7" t="s">
        <v>109</v>
      </c>
      <c r="H7" t="s">
        <v>15</v>
      </c>
      <c r="I7" t="s">
        <v>110</v>
      </c>
      <c r="K7" t="s">
        <v>13</v>
      </c>
      <c r="L7" t="s">
        <v>573</v>
      </c>
      <c r="Q7">
        <v>6</v>
      </c>
      <c r="R7" t="s">
        <v>13</v>
      </c>
      <c r="S7" t="s">
        <v>109</v>
      </c>
      <c r="T7" t="s">
        <v>13</v>
      </c>
      <c r="U7" t="s">
        <v>14</v>
      </c>
      <c r="W7" t="s">
        <v>15</v>
      </c>
      <c r="X7" t="s">
        <v>110</v>
      </c>
      <c r="Z7" t="s">
        <v>15</v>
      </c>
      <c r="AA7" t="s">
        <v>110</v>
      </c>
      <c r="AE7" t="s">
        <v>11</v>
      </c>
      <c r="AF7" t="s">
        <v>572</v>
      </c>
    </row>
    <row r="8" spans="2:32" x14ac:dyDescent="0.2">
      <c r="B8" t="s">
        <v>15</v>
      </c>
      <c r="C8" t="s">
        <v>110</v>
      </c>
      <c r="D8">
        <v>1</v>
      </c>
      <c r="E8" t="s">
        <v>15</v>
      </c>
      <c r="F8" t="s">
        <v>110</v>
      </c>
      <c r="H8" t="s">
        <v>17</v>
      </c>
      <c r="I8" t="s">
        <v>153</v>
      </c>
      <c r="K8" t="s">
        <v>15</v>
      </c>
      <c r="L8" t="s">
        <v>574</v>
      </c>
      <c r="Q8">
        <v>7</v>
      </c>
      <c r="R8" t="s">
        <v>15</v>
      </c>
      <c r="S8" t="s">
        <v>110</v>
      </c>
      <c r="T8" t="s">
        <v>15</v>
      </c>
      <c r="U8" t="s">
        <v>16</v>
      </c>
      <c r="W8" t="s">
        <v>17</v>
      </c>
      <c r="X8" t="s">
        <v>153</v>
      </c>
      <c r="Z8" t="s">
        <v>17</v>
      </c>
      <c r="AA8" t="s">
        <v>111</v>
      </c>
      <c r="AE8" t="s">
        <v>652</v>
      </c>
      <c r="AF8" t="s">
        <v>653</v>
      </c>
    </row>
    <row r="9" spans="2:32" x14ac:dyDescent="0.2">
      <c r="B9" t="s">
        <v>17</v>
      </c>
      <c r="C9" t="s">
        <v>111</v>
      </c>
      <c r="D9">
        <v>1</v>
      </c>
      <c r="E9" t="s">
        <v>17</v>
      </c>
      <c r="F9" t="s">
        <v>153</v>
      </c>
      <c r="H9" t="s">
        <v>19</v>
      </c>
      <c r="I9" t="s">
        <v>112</v>
      </c>
      <c r="K9" t="s">
        <v>17</v>
      </c>
      <c r="L9" t="s">
        <v>153</v>
      </c>
      <c r="Q9">
        <v>8</v>
      </c>
      <c r="R9" t="s">
        <v>17</v>
      </c>
      <c r="S9" t="s">
        <v>111</v>
      </c>
      <c r="T9" t="s">
        <v>17</v>
      </c>
      <c r="U9" t="s">
        <v>18</v>
      </c>
      <c r="W9" t="s">
        <v>19</v>
      </c>
      <c r="X9" t="s">
        <v>112</v>
      </c>
      <c r="Z9" t="s">
        <v>19</v>
      </c>
      <c r="AA9" t="s">
        <v>112</v>
      </c>
      <c r="AE9" t="s">
        <v>13</v>
      </c>
      <c r="AF9" t="s">
        <v>573</v>
      </c>
    </row>
    <row r="10" spans="2:32" x14ac:dyDescent="0.2">
      <c r="B10" t="s">
        <v>19</v>
      </c>
      <c r="C10" t="s">
        <v>112</v>
      </c>
      <c r="D10">
        <v>1</v>
      </c>
      <c r="E10" t="s">
        <v>19</v>
      </c>
      <c r="F10" t="s">
        <v>112</v>
      </c>
      <c r="H10" t="s">
        <v>21</v>
      </c>
      <c r="I10" t="s">
        <v>113</v>
      </c>
      <c r="K10" t="s">
        <v>19</v>
      </c>
      <c r="L10" t="s">
        <v>575</v>
      </c>
      <c r="Q10">
        <v>9</v>
      </c>
      <c r="R10" t="s">
        <v>19</v>
      </c>
      <c r="S10" t="s">
        <v>112</v>
      </c>
      <c r="T10" t="s">
        <v>19</v>
      </c>
      <c r="U10" t="s">
        <v>20</v>
      </c>
      <c r="W10" t="s">
        <v>21</v>
      </c>
      <c r="X10" t="s">
        <v>113</v>
      </c>
      <c r="Z10" t="s">
        <v>21</v>
      </c>
      <c r="AA10" t="s">
        <v>113</v>
      </c>
      <c r="AE10" t="s">
        <v>15</v>
      </c>
      <c r="AF10" t="s">
        <v>574</v>
      </c>
    </row>
    <row r="11" spans="2:32" x14ac:dyDescent="0.2">
      <c r="B11" t="s">
        <v>21</v>
      </c>
      <c r="C11" t="s">
        <v>113</v>
      </c>
      <c r="D11">
        <v>1</v>
      </c>
      <c r="E11" t="s">
        <v>21</v>
      </c>
      <c r="F11" t="s">
        <v>113</v>
      </c>
      <c r="H11" t="s">
        <v>23</v>
      </c>
      <c r="I11" t="s">
        <v>114</v>
      </c>
      <c r="K11" s="9" t="s">
        <v>566</v>
      </c>
      <c r="L11" s="9" t="s">
        <v>576</v>
      </c>
      <c r="Q11">
        <v>10</v>
      </c>
      <c r="R11" t="s">
        <v>21</v>
      </c>
      <c r="S11" t="s">
        <v>113</v>
      </c>
      <c r="T11" t="s">
        <v>21</v>
      </c>
      <c r="U11" t="s">
        <v>22</v>
      </c>
      <c r="W11" s="9" t="s">
        <v>23</v>
      </c>
      <c r="X11" s="9" t="s">
        <v>114</v>
      </c>
      <c r="Z11" t="s">
        <v>25</v>
      </c>
      <c r="AA11" t="s">
        <v>115</v>
      </c>
      <c r="AE11" t="s">
        <v>17</v>
      </c>
      <c r="AF11" t="s">
        <v>153</v>
      </c>
    </row>
    <row r="12" spans="2:32" x14ac:dyDescent="0.2">
      <c r="B12" s="9" t="s">
        <v>23</v>
      </c>
      <c r="C12" s="9" t="s">
        <v>114</v>
      </c>
      <c r="E12" t="s">
        <v>25</v>
      </c>
      <c r="F12" t="s">
        <v>115</v>
      </c>
      <c r="H12" t="s">
        <v>25</v>
      </c>
      <c r="I12" t="s">
        <v>115</v>
      </c>
      <c r="K12" s="9" t="s">
        <v>567</v>
      </c>
      <c r="L12" s="9" t="s">
        <v>577</v>
      </c>
      <c r="Q12">
        <v>11</v>
      </c>
      <c r="R12" t="s">
        <v>25</v>
      </c>
      <c r="S12" t="s">
        <v>115</v>
      </c>
      <c r="T12" s="9" t="s">
        <v>23</v>
      </c>
      <c r="U12" s="9" t="s">
        <v>24</v>
      </c>
      <c r="W12" t="s">
        <v>25</v>
      </c>
      <c r="X12" t="s">
        <v>115</v>
      </c>
      <c r="Z12" t="s">
        <v>31</v>
      </c>
      <c r="AA12" t="s">
        <v>118</v>
      </c>
      <c r="AE12" t="s">
        <v>19</v>
      </c>
      <c r="AF12" t="s">
        <v>654</v>
      </c>
    </row>
    <row r="13" spans="2:32" x14ac:dyDescent="0.2">
      <c r="B13" t="s">
        <v>25</v>
      </c>
      <c r="C13" t="s">
        <v>115</v>
      </c>
      <c r="D13">
        <v>1</v>
      </c>
      <c r="E13" s="9" t="s">
        <v>154</v>
      </c>
      <c r="F13" s="9" t="s">
        <v>155</v>
      </c>
      <c r="H13" s="9" t="s">
        <v>154</v>
      </c>
      <c r="I13" s="9" t="s">
        <v>155</v>
      </c>
      <c r="K13" t="s">
        <v>21</v>
      </c>
      <c r="L13" t="s">
        <v>578</v>
      </c>
      <c r="Q13">
        <v>12</v>
      </c>
      <c r="R13" s="9" t="s">
        <v>27</v>
      </c>
      <c r="S13" s="9" t="s">
        <v>116</v>
      </c>
      <c r="T13" t="s">
        <v>25</v>
      </c>
      <c r="U13" t="s">
        <v>26</v>
      </c>
      <c r="W13" t="s">
        <v>31</v>
      </c>
      <c r="X13" t="s">
        <v>118</v>
      </c>
      <c r="Z13" t="s">
        <v>33</v>
      </c>
      <c r="AA13" t="s">
        <v>119</v>
      </c>
      <c r="AE13" t="s">
        <v>21</v>
      </c>
      <c r="AF13" t="s">
        <v>578</v>
      </c>
    </row>
    <row r="14" spans="2:32" x14ac:dyDescent="0.2">
      <c r="B14" t="s">
        <v>27</v>
      </c>
      <c r="C14" t="s">
        <v>116</v>
      </c>
      <c r="D14">
        <v>1</v>
      </c>
      <c r="E14" t="s">
        <v>27</v>
      </c>
      <c r="F14" t="s">
        <v>116</v>
      </c>
      <c r="H14" s="9" t="s">
        <v>27</v>
      </c>
      <c r="I14" s="9" t="s">
        <v>116</v>
      </c>
      <c r="K14" t="s">
        <v>23</v>
      </c>
      <c r="L14" t="s">
        <v>579</v>
      </c>
      <c r="Q14">
        <v>13</v>
      </c>
      <c r="R14" s="9" t="s">
        <v>29</v>
      </c>
      <c r="S14" s="9" t="s">
        <v>117</v>
      </c>
      <c r="T14" t="s">
        <v>27</v>
      </c>
      <c r="U14" t="s">
        <v>28</v>
      </c>
      <c r="W14" t="s">
        <v>33</v>
      </c>
      <c r="X14" t="s">
        <v>119</v>
      </c>
      <c r="Z14" t="s">
        <v>35</v>
      </c>
      <c r="AA14" t="s">
        <v>120</v>
      </c>
      <c r="AE14" t="s">
        <v>644</v>
      </c>
      <c r="AF14" t="s">
        <v>655</v>
      </c>
    </row>
    <row r="15" spans="2:32" x14ac:dyDescent="0.2">
      <c r="B15" t="s">
        <v>29</v>
      </c>
      <c r="C15" t="s">
        <v>117</v>
      </c>
      <c r="D15">
        <v>1</v>
      </c>
      <c r="E15" s="9" t="s">
        <v>156</v>
      </c>
      <c r="F15" s="9" t="s">
        <v>157</v>
      </c>
      <c r="H15" s="9" t="s">
        <v>156</v>
      </c>
      <c r="I15" s="9" t="s">
        <v>157</v>
      </c>
      <c r="K15" t="s">
        <v>25</v>
      </c>
      <c r="L15" t="s">
        <v>580</v>
      </c>
      <c r="Q15">
        <v>14</v>
      </c>
      <c r="R15" t="s">
        <v>31</v>
      </c>
      <c r="S15" t="s">
        <v>118</v>
      </c>
      <c r="T15" t="s">
        <v>29</v>
      </c>
      <c r="U15" t="s">
        <v>30</v>
      </c>
      <c r="W15" t="s">
        <v>35</v>
      </c>
      <c r="X15" t="s">
        <v>120</v>
      </c>
      <c r="Z15" t="s">
        <v>37</v>
      </c>
      <c r="AA15" t="s">
        <v>121</v>
      </c>
      <c r="AE15" t="s">
        <v>25</v>
      </c>
      <c r="AF15" t="s">
        <v>580</v>
      </c>
    </row>
    <row r="16" spans="2:32" x14ac:dyDescent="0.2">
      <c r="B16" t="s">
        <v>31</v>
      </c>
      <c r="C16" t="s">
        <v>118</v>
      </c>
      <c r="D16">
        <v>1</v>
      </c>
      <c r="E16" t="s">
        <v>29</v>
      </c>
      <c r="F16" t="s">
        <v>117</v>
      </c>
      <c r="H16" s="9" t="s">
        <v>29</v>
      </c>
      <c r="I16" s="9" t="s">
        <v>117</v>
      </c>
      <c r="K16" s="9" t="s">
        <v>568</v>
      </c>
      <c r="L16" s="9" t="s">
        <v>581</v>
      </c>
      <c r="Q16">
        <v>15</v>
      </c>
      <c r="R16" t="s">
        <v>33</v>
      </c>
      <c r="S16" t="s">
        <v>119</v>
      </c>
      <c r="T16" t="s">
        <v>31</v>
      </c>
      <c r="U16" t="s">
        <v>32</v>
      </c>
      <c r="W16" t="s">
        <v>37</v>
      </c>
      <c r="X16" t="s">
        <v>158</v>
      </c>
      <c r="Z16" t="s">
        <v>39</v>
      </c>
      <c r="AA16" t="s">
        <v>122</v>
      </c>
      <c r="AE16" t="s">
        <v>27</v>
      </c>
      <c r="AF16" t="s">
        <v>116</v>
      </c>
    </row>
    <row r="17" spans="2:32" x14ac:dyDescent="0.2">
      <c r="B17" t="s">
        <v>33</v>
      </c>
      <c r="C17" t="s">
        <v>119</v>
      </c>
      <c r="D17">
        <v>1</v>
      </c>
      <c r="E17" t="s">
        <v>31</v>
      </c>
      <c r="F17" t="s">
        <v>118</v>
      </c>
      <c r="H17" t="s">
        <v>31</v>
      </c>
      <c r="I17" t="s">
        <v>118</v>
      </c>
      <c r="K17" t="s">
        <v>31</v>
      </c>
      <c r="L17" t="s">
        <v>582</v>
      </c>
      <c r="Q17">
        <v>16</v>
      </c>
      <c r="R17" t="s">
        <v>35</v>
      </c>
      <c r="S17" t="s">
        <v>120</v>
      </c>
      <c r="T17" t="s">
        <v>33</v>
      </c>
      <c r="U17" t="s">
        <v>34</v>
      </c>
      <c r="W17" t="s">
        <v>39</v>
      </c>
      <c r="X17" t="s">
        <v>159</v>
      </c>
      <c r="Z17" t="s">
        <v>41</v>
      </c>
      <c r="AA17" t="s">
        <v>123</v>
      </c>
      <c r="AE17" t="s">
        <v>568</v>
      </c>
      <c r="AF17" t="s">
        <v>581</v>
      </c>
    </row>
    <row r="18" spans="2:32" x14ac:dyDescent="0.2">
      <c r="B18" t="s">
        <v>35</v>
      </c>
      <c r="C18" t="s">
        <v>120</v>
      </c>
      <c r="D18">
        <v>1</v>
      </c>
      <c r="E18" t="s">
        <v>33</v>
      </c>
      <c r="F18" t="s">
        <v>119</v>
      </c>
      <c r="H18" t="s">
        <v>33</v>
      </c>
      <c r="I18" t="s">
        <v>119</v>
      </c>
      <c r="K18" t="s">
        <v>33</v>
      </c>
      <c r="L18" t="s">
        <v>583</v>
      </c>
      <c r="Q18">
        <v>17</v>
      </c>
      <c r="R18" t="s">
        <v>37</v>
      </c>
      <c r="S18" t="s">
        <v>121</v>
      </c>
      <c r="T18" t="s">
        <v>35</v>
      </c>
      <c r="U18" t="s">
        <v>36</v>
      </c>
      <c r="W18" t="s">
        <v>41</v>
      </c>
      <c r="X18" t="s">
        <v>123</v>
      </c>
      <c r="Z18" t="s">
        <v>43</v>
      </c>
      <c r="AA18" t="s">
        <v>124</v>
      </c>
      <c r="AE18" t="s">
        <v>33</v>
      </c>
      <c r="AF18" t="s">
        <v>583</v>
      </c>
    </row>
    <row r="19" spans="2:32" x14ac:dyDescent="0.2">
      <c r="B19" t="s">
        <v>37</v>
      </c>
      <c r="C19" t="s">
        <v>121</v>
      </c>
      <c r="D19">
        <v>1</v>
      </c>
      <c r="E19" t="s">
        <v>35</v>
      </c>
      <c r="F19" t="s">
        <v>120</v>
      </c>
      <c r="H19" t="s">
        <v>35</v>
      </c>
      <c r="I19" t="s">
        <v>120</v>
      </c>
      <c r="K19" t="s">
        <v>35</v>
      </c>
      <c r="L19" t="s">
        <v>584</v>
      </c>
      <c r="Q19">
        <v>18</v>
      </c>
      <c r="R19" t="s">
        <v>39</v>
      </c>
      <c r="S19" t="s">
        <v>122</v>
      </c>
      <c r="T19" t="s">
        <v>37</v>
      </c>
      <c r="U19" t="s">
        <v>38</v>
      </c>
      <c r="W19" s="9" t="s">
        <v>586</v>
      </c>
      <c r="X19" s="9" t="s">
        <v>616</v>
      </c>
      <c r="Z19" t="s">
        <v>45</v>
      </c>
      <c r="AA19" t="s">
        <v>125</v>
      </c>
      <c r="AE19" t="s">
        <v>656</v>
      </c>
      <c r="AF19" t="s">
        <v>657</v>
      </c>
    </row>
    <row r="20" spans="2:32" x14ac:dyDescent="0.2">
      <c r="B20" t="s">
        <v>39</v>
      </c>
      <c r="C20" t="s">
        <v>122</v>
      </c>
      <c r="D20">
        <v>1</v>
      </c>
      <c r="E20" t="s">
        <v>37</v>
      </c>
      <c r="F20" t="s">
        <v>158</v>
      </c>
      <c r="H20" t="s">
        <v>37</v>
      </c>
      <c r="I20" t="s">
        <v>158</v>
      </c>
      <c r="K20" t="s">
        <v>37</v>
      </c>
      <c r="L20" t="s">
        <v>158</v>
      </c>
      <c r="Q20">
        <v>19</v>
      </c>
      <c r="R20" t="s">
        <v>41</v>
      </c>
      <c r="S20" t="s">
        <v>123</v>
      </c>
      <c r="T20" t="s">
        <v>39</v>
      </c>
      <c r="U20" t="s">
        <v>40</v>
      </c>
      <c r="W20" t="s">
        <v>43</v>
      </c>
      <c r="X20" t="s">
        <v>124</v>
      </c>
      <c r="Z20" t="s">
        <v>47</v>
      </c>
      <c r="AA20" t="s">
        <v>126</v>
      </c>
      <c r="AE20" t="s">
        <v>37</v>
      </c>
      <c r="AF20" t="s">
        <v>658</v>
      </c>
    </row>
    <row r="21" spans="2:32" x14ac:dyDescent="0.2">
      <c r="B21" t="s">
        <v>41</v>
      </c>
      <c r="C21" t="s">
        <v>123</v>
      </c>
      <c r="D21">
        <v>1</v>
      </c>
      <c r="E21" t="s">
        <v>39</v>
      </c>
      <c r="F21" t="s">
        <v>159</v>
      </c>
      <c r="H21" t="s">
        <v>39</v>
      </c>
      <c r="I21" t="s">
        <v>159</v>
      </c>
      <c r="K21" t="s">
        <v>39</v>
      </c>
      <c r="L21" t="s">
        <v>159</v>
      </c>
      <c r="Q21">
        <v>20</v>
      </c>
      <c r="R21" t="s">
        <v>43</v>
      </c>
      <c r="S21" t="s">
        <v>124</v>
      </c>
      <c r="T21" t="s">
        <v>41</v>
      </c>
      <c r="U21" t="s">
        <v>42</v>
      </c>
      <c r="W21" t="s">
        <v>45</v>
      </c>
      <c r="X21" t="s">
        <v>125</v>
      </c>
      <c r="Z21" t="s">
        <v>51</v>
      </c>
      <c r="AA21" t="s">
        <v>128</v>
      </c>
      <c r="AE21" t="s">
        <v>39</v>
      </c>
      <c r="AF21" t="s">
        <v>159</v>
      </c>
    </row>
    <row r="22" spans="2:32" x14ac:dyDescent="0.2">
      <c r="B22" t="s">
        <v>43</v>
      </c>
      <c r="C22" t="s">
        <v>124</v>
      </c>
      <c r="D22">
        <v>1</v>
      </c>
      <c r="E22" t="s">
        <v>41</v>
      </c>
      <c r="F22" t="s">
        <v>123</v>
      </c>
      <c r="H22" t="s">
        <v>41</v>
      </c>
      <c r="I22" t="s">
        <v>123</v>
      </c>
      <c r="K22" t="s">
        <v>41</v>
      </c>
      <c r="L22" t="s">
        <v>585</v>
      </c>
      <c r="Q22">
        <v>21</v>
      </c>
      <c r="R22" t="s">
        <v>45</v>
      </c>
      <c r="S22" t="s">
        <v>125</v>
      </c>
      <c r="T22" t="s">
        <v>43</v>
      </c>
      <c r="U22" t="s">
        <v>44</v>
      </c>
      <c r="W22" t="s">
        <v>47</v>
      </c>
      <c r="X22" t="s">
        <v>126</v>
      </c>
      <c r="Z22" t="s">
        <v>53</v>
      </c>
      <c r="AA22" t="s">
        <v>129</v>
      </c>
      <c r="AE22" t="s">
        <v>41</v>
      </c>
      <c r="AF22" t="s">
        <v>659</v>
      </c>
    </row>
    <row r="23" spans="2:32" x14ac:dyDescent="0.2">
      <c r="B23" t="s">
        <v>45</v>
      </c>
      <c r="C23" t="s">
        <v>125</v>
      </c>
      <c r="D23">
        <v>1</v>
      </c>
      <c r="E23" t="s">
        <v>43</v>
      </c>
      <c r="F23" t="s">
        <v>124</v>
      </c>
      <c r="H23" t="s">
        <v>586</v>
      </c>
      <c r="I23" t="s">
        <v>616</v>
      </c>
      <c r="K23" t="s">
        <v>586</v>
      </c>
      <c r="L23" t="s">
        <v>587</v>
      </c>
      <c r="Q23">
        <v>22</v>
      </c>
      <c r="R23" t="s">
        <v>47</v>
      </c>
      <c r="S23" t="s">
        <v>126</v>
      </c>
      <c r="T23" t="s">
        <v>45</v>
      </c>
      <c r="U23" t="s">
        <v>46</v>
      </c>
      <c r="W23" t="s">
        <v>51</v>
      </c>
      <c r="X23" t="s">
        <v>128</v>
      </c>
      <c r="Z23" t="s">
        <v>61</v>
      </c>
      <c r="AA23" t="s">
        <v>133</v>
      </c>
      <c r="AE23" t="s">
        <v>45</v>
      </c>
      <c r="AF23" t="s">
        <v>589</v>
      </c>
    </row>
    <row r="24" spans="2:32" x14ac:dyDescent="0.2">
      <c r="B24" t="s">
        <v>47</v>
      </c>
      <c r="C24" t="s">
        <v>126</v>
      </c>
      <c r="D24">
        <v>1</v>
      </c>
      <c r="E24" t="s">
        <v>45</v>
      </c>
      <c r="F24" t="s">
        <v>125</v>
      </c>
      <c r="H24" t="s">
        <v>43</v>
      </c>
      <c r="I24" t="s">
        <v>124</v>
      </c>
      <c r="K24" t="s">
        <v>43</v>
      </c>
      <c r="L24" t="s">
        <v>588</v>
      </c>
      <c r="Q24">
        <v>23</v>
      </c>
      <c r="R24" s="9" t="s">
        <v>49</v>
      </c>
      <c r="S24" s="9" t="s">
        <v>127</v>
      </c>
      <c r="T24" t="s">
        <v>47</v>
      </c>
      <c r="U24" t="s">
        <v>48</v>
      </c>
      <c r="W24" t="s">
        <v>53</v>
      </c>
      <c r="X24" t="s">
        <v>129</v>
      </c>
      <c r="Z24" t="s">
        <v>63</v>
      </c>
      <c r="AA24" t="s">
        <v>134</v>
      </c>
      <c r="AE24" t="s">
        <v>51</v>
      </c>
      <c r="AF24" t="s">
        <v>591</v>
      </c>
    </row>
    <row r="25" spans="2:32" x14ac:dyDescent="0.2">
      <c r="B25" t="s">
        <v>49</v>
      </c>
      <c r="C25" t="s">
        <v>127</v>
      </c>
      <c r="D25">
        <v>1</v>
      </c>
      <c r="E25" t="s">
        <v>47</v>
      </c>
      <c r="F25" t="s">
        <v>126</v>
      </c>
      <c r="H25" t="s">
        <v>45</v>
      </c>
      <c r="I25" t="s">
        <v>125</v>
      </c>
      <c r="K25" t="s">
        <v>45</v>
      </c>
      <c r="L25" t="s">
        <v>589</v>
      </c>
      <c r="Q25">
        <v>24</v>
      </c>
      <c r="R25" t="s">
        <v>51</v>
      </c>
      <c r="S25" t="s">
        <v>128</v>
      </c>
      <c r="T25" t="s">
        <v>49</v>
      </c>
      <c r="U25" t="s">
        <v>50</v>
      </c>
      <c r="W25" s="9" t="s">
        <v>595</v>
      </c>
      <c r="X25" s="9" t="s">
        <v>617</v>
      </c>
      <c r="Z25" t="s">
        <v>65</v>
      </c>
      <c r="AA25" t="s">
        <v>135</v>
      </c>
      <c r="AE25" t="s">
        <v>53</v>
      </c>
      <c r="AF25" t="s">
        <v>592</v>
      </c>
    </row>
    <row r="26" spans="2:32" x14ac:dyDescent="0.2">
      <c r="B26" t="s">
        <v>51</v>
      </c>
      <c r="C26" t="s">
        <v>128</v>
      </c>
      <c r="D26">
        <v>1</v>
      </c>
      <c r="E26" t="s">
        <v>49</v>
      </c>
      <c r="F26" t="s">
        <v>160</v>
      </c>
      <c r="H26" t="s">
        <v>47</v>
      </c>
      <c r="I26" t="s">
        <v>126</v>
      </c>
      <c r="K26" t="s">
        <v>47</v>
      </c>
      <c r="L26" t="s">
        <v>590</v>
      </c>
      <c r="Q26">
        <v>25</v>
      </c>
      <c r="R26" t="s">
        <v>53</v>
      </c>
      <c r="S26" t="s">
        <v>129</v>
      </c>
      <c r="T26" t="s">
        <v>51</v>
      </c>
      <c r="U26" t="s">
        <v>52</v>
      </c>
      <c r="W26" s="9" t="s">
        <v>57</v>
      </c>
      <c r="X26" s="9" t="s">
        <v>597</v>
      </c>
      <c r="Z26" t="s">
        <v>67</v>
      </c>
      <c r="AA26" t="s">
        <v>136</v>
      </c>
      <c r="AE26" t="s">
        <v>593</v>
      </c>
      <c r="AF26" t="s">
        <v>594</v>
      </c>
    </row>
    <row r="27" spans="2:32" x14ac:dyDescent="0.2">
      <c r="B27" t="s">
        <v>53</v>
      </c>
      <c r="C27" t="s">
        <v>129</v>
      </c>
      <c r="D27">
        <v>1</v>
      </c>
      <c r="E27" t="s">
        <v>51</v>
      </c>
      <c r="F27" t="s">
        <v>128</v>
      </c>
      <c r="H27" s="9" t="s">
        <v>49</v>
      </c>
      <c r="I27" s="9" t="s">
        <v>160</v>
      </c>
      <c r="K27" t="s">
        <v>51</v>
      </c>
      <c r="L27" t="s">
        <v>591</v>
      </c>
      <c r="Q27">
        <v>26</v>
      </c>
      <c r="R27" s="9" t="s">
        <v>55</v>
      </c>
      <c r="S27" s="9" t="s">
        <v>130</v>
      </c>
      <c r="T27" t="s">
        <v>53</v>
      </c>
      <c r="U27" t="s">
        <v>54</v>
      </c>
      <c r="W27" t="s">
        <v>61</v>
      </c>
      <c r="X27" t="s">
        <v>133</v>
      </c>
      <c r="Z27" t="s">
        <v>71</v>
      </c>
      <c r="AA27" t="s">
        <v>138</v>
      </c>
      <c r="AE27" t="s">
        <v>595</v>
      </c>
      <c r="AF27" t="s">
        <v>660</v>
      </c>
    </row>
    <row r="28" spans="2:32" x14ac:dyDescent="0.2">
      <c r="B28" t="s">
        <v>55</v>
      </c>
      <c r="C28" t="s">
        <v>130</v>
      </c>
      <c r="D28">
        <v>1</v>
      </c>
      <c r="E28" t="s">
        <v>53</v>
      </c>
      <c r="F28" t="s">
        <v>129</v>
      </c>
      <c r="H28" t="s">
        <v>51</v>
      </c>
      <c r="I28" t="s">
        <v>128</v>
      </c>
      <c r="K28" t="s">
        <v>53</v>
      </c>
      <c r="L28" t="s">
        <v>592</v>
      </c>
      <c r="Q28">
        <v>27</v>
      </c>
      <c r="R28" s="9" t="s">
        <v>59</v>
      </c>
      <c r="S28" s="9" t="s">
        <v>132</v>
      </c>
      <c r="T28" t="s">
        <v>55</v>
      </c>
      <c r="U28" t="s">
        <v>56</v>
      </c>
      <c r="W28" t="s">
        <v>63</v>
      </c>
      <c r="X28" t="s">
        <v>161</v>
      </c>
      <c r="Z28" t="s">
        <v>79</v>
      </c>
      <c r="AA28" t="s">
        <v>144</v>
      </c>
      <c r="AE28" t="s">
        <v>645</v>
      </c>
      <c r="AF28" t="s">
        <v>646</v>
      </c>
    </row>
    <row r="29" spans="2:32" x14ac:dyDescent="0.2">
      <c r="B29" s="9" t="s">
        <v>57</v>
      </c>
      <c r="C29" s="9" t="s">
        <v>131</v>
      </c>
      <c r="E29" t="s">
        <v>55</v>
      </c>
      <c r="F29" t="s">
        <v>130</v>
      </c>
      <c r="H29" t="s">
        <v>53</v>
      </c>
      <c r="I29" t="s">
        <v>129</v>
      </c>
      <c r="K29" s="9" t="s">
        <v>593</v>
      </c>
      <c r="L29" s="9" t="s">
        <v>594</v>
      </c>
      <c r="Q29">
        <v>28</v>
      </c>
      <c r="R29" t="s">
        <v>61</v>
      </c>
      <c r="S29" t="s">
        <v>133</v>
      </c>
      <c r="T29" s="9" t="s">
        <v>57</v>
      </c>
      <c r="U29" s="9" t="s">
        <v>58</v>
      </c>
      <c r="W29" t="s">
        <v>65</v>
      </c>
      <c r="X29" t="s">
        <v>162</v>
      </c>
      <c r="Z29" t="s">
        <v>85</v>
      </c>
      <c r="AA29" t="s">
        <v>147</v>
      </c>
      <c r="AE29" t="s">
        <v>61</v>
      </c>
      <c r="AF29" t="s">
        <v>598</v>
      </c>
    </row>
    <row r="30" spans="2:32" x14ac:dyDescent="0.2">
      <c r="B30" t="s">
        <v>59</v>
      </c>
      <c r="C30" t="s">
        <v>132</v>
      </c>
      <c r="D30">
        <v>1</v>
      </c>
      <c r="E30" t="s">
        <v>59</v>
      </c>
      <c r="F30" t="s">
        <v>132</v>
      </c>
      <c r="H30" t="s">
        <v>595</v>
      </c>
      <c r="I30" t="s">
        <v>617</v>
      </c>
      <c r="K30" t="s">
        <v>595</v>
      </c>
      <c r="L30" t="s">
        <v>596</v>
      </c>
      <c r="Q30">
        <v>29</v>
      </c>
      <c r="R30" t="s">
        <v>63</v>
      </c>
      <c r="S30" t="s">
        <v>134</v>
      </c>
      <c r="T30" t="s">
        <v>59</v>
      </c>
      <c r="U30" t="s">
        <v>60</v>
      </c>
      <c r="W30" t="s">
        <v>67</v>
      </c>
      <c r="X30" t="s">
        <v>136</v>
      </c>
      <c r="Z30" t="s">
        <v>87</v>
      </c>
      <c r="AA30" t="s">
        <v>148</v>
      </c>
      <c r="AE30" t="s">
        <v>661</v>
      </c>
      <c r="AF30" t="s">
        <v>662</v>
      </c>
    </row>
    <row r="31" spans="2:32" x14ac:dyDescent="0.2">
      <c r="B31" t="s">
        <v>61</v>
      </c>
      <c r="C31" t="s">
        <v>133</v>
      </c>
      <c r="D31">
        <v>1</v>
      </c>
      <c r="E31" t="s">
        <v>61</v>
      </c>
      <c r="F31" t="s">
        <v>133</v>
      </c>
      <c r="H31" t="s">
        <v>57</v>
      </c>
      <c r="I31" t="s">
        <v>597</v>
      </c>
      <c r="K31" t="s">
        <v>57</v>
      </c>
      <c r="L31" t="s">
        <v>597</v>
      </c>
      <c r="Q31">
        <v>30</v>
      </c>
      <c r="R31" t="s">
        <v>65</v>
      </c>
      <c r="S31" t="s">
        <v>135</v>
      </c>
      <c r="T31" t="s">
        <v>61</v>
      </c>
      <c r="U31" t="s">
        <v>62</v>
      </c>
      <c r="W31" s="9" t="s">
        <v>163</v>
      </c>
      <c r="X31" s="9" t="s">
        <v>164</v>
      </c>
      <c r="Z31" t="s">
        <v>89</v>
      </c>
      <c r="AA31" t="s">
        <v>149</v>
      </c>
      <c r="AE31" t="s">
        <v>663</v>
      </c>
      <c r="AF31" t="s">
        <v>664</v>
      </c>
    </row>
    <row r="32" spans="2:32" x14ac:dyDescent="0.2">
      <c r="B32" t="s">
        <v>63</v>
      </c>
      <c r="C32" t="s">
        <v>134</v>
      </c>
      <c r="D32">
        <v>1</v>
      </c>
      <c r="E32" t="s">
        <v>63</v>
      </c>
      <c r="F32" t="s">
        <v>161</v>
      </c>
      <c r="H32" t="s">
        <v>61</v>
      </c>
      <c r="I32" t="s">
        <v>133</v>
      </c>
      <c r="K32" t="s">
        <v>61</v>
      </c>
      <c r="L32" t="s">
        <v>598</v>
      </c>
      <c r="Q32">
        <v>31</v>
      </c>
      <c r="R32" t="s">
        <v>67</v>
      </c>
      <c r="S32" t="s">
        <v>136</v>
      </c>
      <c r="T32" t="s">
        <v>63</v>
      </c>
      <c r="U32" t="s">
        <v>64</v>
      </c>
      <c r="W32" t="s">
        <v>71</v>
      </c>
      <c r="X32" t="s">
        <v>138</v>
      </c>
      <c r="AE32" t="s">
        <v>63</v>
      </c>
      <c r="AF32" t="s">
        <v>665</v>
      </c>
    </row>
    <row r="33" spans="2:32" x14ac:dyDescent="0.2">
      <c r="B33" t="s">
        <v>65</v>
      </c>
      <c r="C33" t="s">
        <v>135</v>
      </c>
      <c r="D33">
        <v>1</v>
      </c>
      <c r="E33" t="s">
        <v>65</v>
      </c>
      <c r="F33" t="s">
        <v>162</v>
      </c>
      <c r="H33" t="s">
        <v>63</v>
      </c>
      <c r="I33" t="s">
        <v>161</v>
      </c>
      <c r="K33" t="s">
        <v>63</v>
      </c>
      <c r="L33" t="s">
        <v>599</v>
      </c>
      <c r="Q33">
        <v>32</v>
      </c>
      <c r="R33" s="9" t="s">
        <v>69</v>
      </c>
      <c r="S33" s="9" t="s">
        <v>137</v>
      </c>
      <c r="T33" t="s">
        <v>65</v>
      </c>
      <c r="U33" t="s">
        <v>66</v>
      </c>
      <c r="W33" s="9" t="s">
        <v>165</v>
      </c>
      <c r="X33" s="9" t="s">
        <v>166</v>
      </c>
      <c r="AE33" t="s">
        <v>65</v>
      </c>
      <c r="AF33" t="s">
        <v>666</v>
      </c>
    </row>
    <row r="34" spans="2:32" x14ac:dyDescent="0.2">
      <c r="B34" t="s">
        <v>67</v>
      </c>
      <c r="C34" t="s">
        <v>136</v>
      </c>
      <c r="D34">
        <v>1</v>
      </c>
      <c r="E34" t="s">
        <v>67</v>
      </c>
      <c r="F34" t="s">
        <v>136</v>
      </c>
      <c r="H34" t="s">
        <v>65</v>
      </c>
      <c r="I34" t="s">
        <v>162</v>
      </c>
      <c r="K34" t="s">
        <v>65</v>
      </c>
      <c r="L34" t="s">
        <v>600</v>
      </c>
      <c r="Q34">
        <v>33</v>
      </c>
      <c r="R34" t="s">
        <v>71</v>
      </c>
      <c r="S34" t="s">
        <v>138</v>
      </c>
      <c r="T34" t="s">
        <v>67</v>
      </c>
      <c r="U34" t="s">
        <v>68</v>
      </c>
      <c r="W34" t="s">
        <v>79</v>
      </c>
      <c r="X34" t="s">
        <v>167</v>
      </c>
      <c r="AE34" t="s">
        <v>67</v>
      </c>
      <c r="AF34" t="s">
        <v>667</v>
      </c>
    </row>
    <row r="35" spans="2:32" x14ac:dyDescent="0.2">
      <c r="B35" t="s">
        <v>69</v>
      </c>
      <c r="C35" t="s">
        <v>137</v>
      </c>
      <c r="D35">
        <v>1</v>
      </c>
      <c r="E35" t="s">
        <v>69</v>
      </c>
      <c r="F35" t="s">
        <v>137</v>
      </c>
      <c r="H35" t="s">
        <v>67</v>
      </c>
      <c r="I35" t="s">
        <v>136</v>
      </c>
      <c r="K35" t="s">
        <v>67</v>
      </c>
      <c r="L35" t="s">
        <v>601</v>
      </c>
      <c r="Q35">
        <v>34</v>
      </c>
      <c r="R35" s="9" t="s">
        <v>139</v>
      </c>
      <c r="S35" s="9" t="s">
        <v>140</v>
      </c>
      <c r="T35" t="s">
        <v>69</v>
      </c>
      <c r="U35" t="s">
        <v>70</v>
      </c>
      <c r="W35" s="9" t="s">
        <v>83</v>
      </c>
      <c r="X35" s="9" t="s">
        <v>608</v>
      </c>
      <c r="AE35" t="s">
        <v>69</v>
      </c>
      <c r="AF35" t="s">
        <v>647</v>
      </c>
    </row>
    <row r="36" spans="2:32" x14ac:dyDescent="0.2">
      <c r="B36" t="s">
        <v>71</v>
      </c>
      <c r="C36" t="s">
        <v>138</v>
      </c>
      <c r="D36">
        <v>1</v>
      </c>
      <c r="E36" s="9" t="s">
        <v>163</v>
      </c>
      <c r="F36" s="9" t="s">
        <v>164</v>
      </c>
      <c r="H36" s="9" t="s">
        <v>69</v>
      </c>
      <c r="I36" s="9" t="s">
        <v>137</v>
      </c>
      <c r="K36" t="s">
        <v>163</v>
      </c>
      <c r="L36" t="s">
        <v>602</v>
      </c>
      <c r="Q36">
        <v>35</v>
      </c>
      <c r="R36" s="9" t="s">
        <v>73</v>
      </c>
      <c r="S36" s="9" t="s">
        <v>141</v>
      </c>
      <c r="T36" t="s">
        <v>71</v>
      </c>
      <c r="U36" t="s">
        <v>72</v>
      </c>
      <c r="W36" t="s">
        <v>85</v>
      </c>
      <c r="X36" t="s">
        <v>147</v>
      </c>
      <c r="AE36" t="s">
        <v>163</v>
      </c>
      <c r="AF36" t="s">
        <v>602</v>
      </c>
    </row>
    <row r="37" spans="2:32" x14ac:dyDescent="0.2">
      <c r="B37" t="s">
        <v>139</v>
      </c>
      <c r="C37" t="s">
        <v>140</v>
      </c>
      <c r="D37">
        <v>1</v>
      </c>
      <c r="E37" t="s">
        <v>71</v>
      </c>
      <c r="F37" t="s">
        <v>138</v>
      </c>
      <c r="H37" t="s">
        <v>163</v>
      </c>
      <c r="I37" t="s">
        <v>164</v>
      </c>
      <c r="K37" t="s">
        <v>71</v>
      </c>
      <c r="L37" t="s">
        <v>603</v>
      </c>
      <c r="Q37">
        <v>36</v>
      </c>
      <c r="R37" s="9" t="s">
        <v>77</v>
      </c>
      <c r="S37" s="9" t="s">
        <v>143</v>
      </c>
      <c r="T37" t="s">
        <v>73</v>
      </c>
      <c r="U37" t="s">
        <v>74</v>
      </c>
      <c r="W37" t="s">
        <v>87</v>
      </c>
      <c r="X37" t="s">
        <v>148</v>
      </c>
      <c r="AE37" t="s">
        <v>668</v>
      </c>
      <c r="AF37" t="s">
        <v>669</v>
      </c>
    </row>
    <row r="38" spans="2:32" x14ac:dyDescent="0.2">
      <c r="B38" t="s">
        <v>73</v>
      </c>
      <c r="C38" t="s">
        <v>141</v>
      </c>
      <c r="D38">
        <v>1</v>
      </c>
      <c r="E38" t="s">
        <v>139</v>
      </c>
      <c r="F38" t="s">
        <v>140</v>
      </c>
      <c r="H38" t="s">
        <v>71</v>
      </c>
      <c r="I38" t="s">
        <v>138</v>
      </c>
      <c r="K38" t="s">
        <v>165</v>
      </c>
      <c r="L38" t="s">
        <v>604</v>
      </c>
      <c r="Q38">
        <v>37</v>
      </c>
      <c r="R38" t="s">
        <v>79</v>
      </c>
      <c r="S38" t="s">
        <v>144</v>
      </c>
      <c r="T38" s="9" t="s">
        <v>75</v>
      </c>
      <c r="U38" s="9" t="s">
        <v>76</v>
      </c>
      <c r="W38" t="s">
        <v>89</v>
      </c>
      <c r="X38" t="s">
        <v>149</v>
      </c>
      <c r="AE38" t="s">
        <v>71</v>
      </c>
      <c r="AF38" t="s">
        <v>603</v>
      </c>
    </row>
    <row r="39" spans="2:32" x14ac:dyDescent="0.2">
      <c r="B39" s="9" t="s">
        <v>75</v>
      </c>
      <c r="C39" s="9" t="s">
        <v>142</v>
      </c>
      <c r="E39" s="9" t="s">
        <v>165</v>
      </c>
      <c r="F39" s="9" t="s">
        <v>166</v>
      </c>
      <c r="H39" t="s">
        <v>165</v>
      </c>
      <c r="I39" t="s">
        <v>166</v>
      </c>
      <c r="K39" s="9" t="s">
        <v>605</v>
      </c>
      <c r="L39" s="9" t="s">
        <v>606</v>
      </c>
      <c r="Q39">
        <v>38</v>
      </c>
      <c r="R39" s="9" t="s">
        <v>81</v>
      </c>
      <c r="S39" s="9" t="s">
        <v>145</v>
      </c>
      <c r="T39" t="s">
        <v>77</v>
      </c>
      <c r="U39" t="s">
        <v>78</v>
      </c>
      <c r="W39" s="9" t="s">
        <v>614</v>
      </c>
      <c r="X39" s="9" t="s">
        <v>618</v>
      </c>
      <c r="AE39" t="s">
        <v>139</v>
      </c>
      <c r="AF39" t="s">
        <v>648</v>
      </c>
    </row>
    <row r="40" spans="2:32" x14ac:dyDescent="0.2">
      <c r="B40" t="s">
        <v>77</v>
      </c>
      <c r="C40" t="s">
        <v>143</v>
      </c>
      <c r="D40">
        <v>1</v>
      </c>
      <c r="E40" t="s">
        <v>73</v>
      </c>
      <c r="F40" t="s">
        <v>141</v>
      </c>
      <c r="H40" s="9" t="s">
        <v>77</v>
      </c>
      <c r="I40" s="9" t="s">
        <v>143</v>
      </c>
      <c r="K40" t="s">
        <v>79</v>
      </c>
      <c r="L40" t="s">
        <v>607</v>
      </c>
      <c r="Q40">
        <v>39</v>
      </c>
      <c r="R40" t="s">
        <v>85</v>
      </c>
      <c r="S40" t="s">
        <v>147</v>
      </c>
      <c r="T40" t="s">
        <v>79</v>
      </c>
      <c r="U40" t="s">
        <v>80</v>
      </c>
      <c r="AE40" t="s">
        <v>165</v>
      </c>
      <c r="AF40" t="s">
        <v>604</v>
      </c>
    </row>
    <row r="41" spans="2:32" x14ac:dyDescent="0.2">
      <c r="B41" t="s">
        <v>79</v>
      </c>
      <c r="C41" t="s">
        <v>144</v>
      </c>
      <c r="D41">
        <v>1</v>
      </c>
      <c r="E41" t="s">
        <v>77</v>
      </c>
      <c r="F41" t="s">
        <v>143</v>
      </c>
      <c r="H41" t="s">
        <v>79</v>
      </c>
      <c r="I41" t="s">
        <v>167</v>
      </c>
      <c r="K41" t="s">
        <v>83</v>
      </c>
      <c r="L41" t="s">
        <v>608</v>
      </c>
      <c r="Q41">
        <v>40</v>
      </c>
      <c r="R41" t="s">
        <v>87</v>
      </c>
      <c r="S41" t="s">
        <v>148</v>
      </c>
      <c r="T41" t="s">
        <v>81</v>
      </c>
      <c r="U41" t="s">
        <v>82</v>
      </c>
      <c r="AE41" t="s">
        <v>605</v>
      </c>
      <c r="AF41" t="s">
        <v>606</v>
      </c>
    </row>
    <row r="42" spans="2:32" x14ac:dyDescent="0.2">
      <c r="B42" t="s">
        <v>81</v>
      </c>
      <c r="C42" t="s">
        <v>145</v>
      </c>
      <c r="D42">
        <v>1</v>
      </c>
      <c r="E42" t="s">
        <v>79</v>
      </c>
      <c r="F42" t="s">
        <v>167</v>
      </c>
      <c r="H42" t="s">
        <v>83</v>
      </c>
      <c r="I42" t="s">
        <v>608</v>
      </c>
      <c r="K42" t="s">
        <v>85</v>
      </c>
      <c r="L42" t="s">
        <v>609</v>
      </c>
      <c r="Q42">
        <v>41</v>
      </c>
      <c r="R42" t="s">
        <v>89</v>
      </c>
      <c r="S42" t="s">
        <v>149</v>
      </c>
      <c r="T42" s="9" t="s">
        <v>83</v>
      </c>
      <c r="U42" s="9" t="s">
        <v>84</v>
      </c>
      <c r="AE42" t="s">
        <v>79</v>
      </c>
      <c r="AF42" t="s">
        <v>607</v>
      </c>
    </row>
    <row r="43" spans="2:32" x14ac:dyDescent="0.2">
      <c r="B43" s="9" t="s">
        <v>83</v>
      </c>
      <c r="C43" s="9" t="s">
        <v>146</v>
      </c>
      <c r="E43" t="s">
        <v>81</v>
      </c>
      <c r="F43" t="s">
        <v>145</v>
      </c>
      <c r="H43" t="s">
        <v>85</v>
      </c>
      <c r="I43" t="s">
        <v>147</v>
      </c>
      <c r="K43" t="s">
        <v>87</v>
      </c>
      <c r="L43" t="s">
        <v>610</v>
      </c>
      <c r="T43" t="s">
        <v>85</v>
      </c>
      <c r="U43" t="s">
        <v>86</v>
      </c>
      <c r="AE43" t="s">
        <v>85</v>
      </c>
      <c r="AF43" t="s">
        <v>609</v>
      </c>
    </row>
    <row r="44" spans="2:32" x14ac:dyDescent="0.2">
      <c r="B44" t="s">
        <v>85</v>
      </c>
      <c r="C44" t="s">
        <v>147</v>
      </c>
      <c r="D44">
        <v>1</v>
      </c>
      <c r="E44" t="s">
        <v>85</v>
      </c>
      <c r="F44" t="s">
        <v>147</v>
      </c>
      <c r="H44" t="s">
        <v>87</v>
      </c>
      <c r="I44" t="s">
        <v>148</v>
      </c>
      <c r="K44" t="s">
        <v>89</v>
      </c>
      <c r="L44" t="s">
        <v>611</v>
      </c>
      <c r="T44" t="s">
        <v>87</v>
      </c>
      <c r="U44" t="s">
        <v>88</v>
      </c>
      <c r="AE44" t="s">
        <v>87</v>
      </c>
      <c r="AF44" t="s">
        <v>649</v>
      </c>
    </row>
    <row r="45" spans="2:32" x14ac:dyDescent="0.2">
      <c r="B45" t="s">
        <v>87</v>
      </c>
      <c r="C45" t="s">
        <v>148</v>
      </c>
      <c r="D45">
        <v>1</v>
      </c>
      <c r="E45" t="s">
        <v>87</v>
      </c>
      <c r="F45" t="s">
        <v>148</v>
      </c>
      <c r="H45" t="s">
        <v>89</v>
      </c>
      <c r="I45" t="s">
        <v>149</v>
      </c>
      <c r="K45" s="9" t="s">
        <v>612</v>
      </c>
      <c r="L45" s="9" t="s">
        <v>613</v>
      </c>
      <c r="T45" t="s">
        <v>89</v>
      </c>
      <c r="U45" t="s">
        <v>90</v>
      </c>
      <c r="AE45" t="s">
        <v>89</v>
      </c>
      <c r="AF45" t="s">
        <v>670</v>
      </c>
    </row>
    <row r="46" spans="2:32" x14ac:dyDescent="0.2">
      <c r="B46" t="s">
        <v>89</v>
      </c>
      <c r="C46" t="s">
        <v>149</v>
      </c>
      <c r="D46">
        <v>1</v>
      </c>
      <c r="E46" t="s">
        <v>89</v>
      </c>
      <c r="F46" t="s">
        <v>149</v>
      </c>
      <c r="H46" t="s">
        <v>614</v>
      </c>
      <c r="I46" t="s">
        <v>618</v>
      </c>
      <c r="K46" t="s">
        <v>614</v>
      </c>
      <c r="L46" t="s">
        <v>615</v>
      </c>
      <c r="AE46" t="s">
        <v>671</v>
      </c>
      <c r="AF46" t="s">
        <v>672</v>
      </c>
    </row>
  </sheetData>
  <mergeCells count="4">
    <mergeCell ref="B1:C1"/>
    <mergeCell ref="E1:F1"/>
    <mergeCell ref="H1:I1"/>
    <mergeCell ref="K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4A99E-A8CB-714C-B0B8-8CBF80D295E8}">
  <dimension ref="A2:M44"/>
  <sheetViews>
    <sheetView workbookViewId="0">
      <selection activeCell="H8" sqref="H8:I8"/>
    </sheetView>
  </sheetViews>
  <sheetFormatPr baseColWidth="10" defaultRowHeight="16" x14ac:dyDescent="0.2"/>
  <cols>
    <col min="1" max="1" width="4.83203125" customWidth="1"/>
    <col min="2" max="2" width="8.6640625" customWidth="1"/>
    <col min="3" max="3" width="18.1640625" customWidth="1"/>
    <col min="4" max="4" width="10.83203125" customWidth="1"/>
  </cols>
  <sheetData>
    <row r="2" spans="1:13" x14ac:dyDescent="0.2">
      <c r="A2" s="1">
        <v>2020</v>
      </c>
      <c r="H2" s="8">
        <v>2021</v>
      </c>
    </row>
    <row r="3" spans="1:13" ht="51" x14ac:dyDescent="0.2">
      <c r="A3" s="8" t="s">
        <v>551</v>
      </c>
      <c r="B3" s="32" t="s">
        <v>1</v>
      </c>
      <c r="C3" s="32" t="s">
        <v>547</v>
      </c>
      <c r="D3" s="32" t="s">
        <v>548</v>
      </c>
      <c r="E3" s="32" t="s">
        <v>549</v>
      </c>
      <c r="F3" s="32" t="s">
        <v>550</v>
      </c>
      <c r="G3" s="8"/>
      <c r="H3" s="8" t="s">
        <v>551</v>
      </c>
      <c r="I3" s="32" t="s">
        <v>1</v>
      </c>
      <c r="J3" s="32" t="s">
        <v>547</v>
      </c>
      <c r="K3" s="32" t="s">
        <v>548</v>
      </c>
      <c r="L3" s="32" t="s">
        <v>549</v>
      </c>
      <c r="M3" s="32" t="s">
        <v>550</v>
      </c>
    </row>
    <row r="4" spans="1:13" x14ac:dyDescent="0.2">
      <c r="A4">
        <v>1</v>
      </c>
      <c r="B4" t="s">
        <v>3</v>
      </c>
      <c r="C4" s="12">
        <v>1.9370113682184156E-3</v>
      </c>
      <c r="D4" s="12">
        <v>1.6999999999999999E-3</v>
      </c>
      <c r="E4" s="6">
        <v>14582.203467817737</v>
      </c>
      <c r="F4" s="12">
        <v>4.2499999999999989E-2</v>
      </c>
      <c r="H4">
        <v>1</v>
      </c>
      <c r="I4" t="s">
        <v>3</v>
      </c>
      <c r="J4" s="12">
        <v>1.0815120865408076E-2</v>
      </c>
      <c r="K4" s="12">
        <v>1.7833333333333332E-3</v>
      </c>
      <c r="L4" s="6">
        <v>14308.143484523027</v>
      </c>
      <c r="M4" s="12">
        <v>3.5208333333333341E-2</v>
      </c>
    </row>
    <row r="5" spans="1:13" x14ac:dyDescent="0.2">
      <c r="A5">
        <v>2</v>
      </c>
      <c r="B5" t="s">
        <v>5</v>
      </c>
      <c r="C5" s="12">
        <v>1.5351420018027527E-2</v>
      </c>
      <c r="D5" s="12">
        <v>1.6999999999999999E-3</v>
      </c>
      <c r="E5" s="6">
        <v>14582.203467817737</v>
      </c>
      <c r="F5" s="12">
        <v>4.2499999999999989E-2</v>
      </c>
      <c r="H5">
        <v>2</v>
      </c>
      <c r="I5" t="s">
        <v>5</v>
      </c>
      <c r="J5" s="12">
        <v>7.5479527849502031E-3</v>
      </c>
      <c r="K5" s="12">
        <v>1.7833333333333332E-3</v>
      </c>
      <c r="L5" s="6">
        <v>14308.143484523027</v>
      </c>
      <c r="M5" s="12">
        <v>3.5208333333333341E-2</v>
      </c>
    </row>
    <row r="6" spans="1:13" x14ac:dyDescent="0.2">
      <c r="A6">
        <v>3</v>
      </c>
      <c r="B6" t="s">
        <v>7</v>
      </c>
      <c r="C6" s="12">
        <v>7.888533848182909E-2</v>
      </c>
      <c r="D6" s="12">
        <v>1.6999999999999999E-3</v>
      </c>
      <c r="E6" s="6">
        <v>14582.203467817737</v>
      </c>
      <c r="F6" s="12">
        <v>4.2499999999999989E-2</v>
      </c>
      <c r="H6">
        <v>3</v>
      </c>
      <c r="I6" t="s">
        <v>7</v>
      </c>
      <c r="J6" s="12">
        <v>6.4138030075347435E-2</v>
      </c>
      <c r="K6" s="12">
        <v>1.7833333333333332E-3</v>
      </c>
      <c r="L6" s="6">
        <v>14308.143484523027</v>
      </c>
      <c r="M6" s="12">
        <v>3.5208333333333341E-2</v>
      </c>
    </row>
    <row r="7" spans="1:13" x14ac:dyDescent="0.2">
      <c r="A7">
        <v>4</v>
      </c>
      <c r="B7" t="s">
        <v>9</v>
      </c>
      <c r="C7" s="12">
        <v>6.3111460642024733E-2</v>
      </c>
      <c r="D7" s="12">
        <v>1.6999999999999999E-3</v>
      </c>
      <c r="E7" s="6">
        <v>14582.203467817737</v>
      </c>
      <c r="F7" s="12">
        <v>4.2499999999999989E-2</v>
      </c>
      <c r="H7">
        <v>4</v>
      </c>
      <c r="I7" t="s">
        <v>9</v>
      </c>
      <c r="J7" s="12">
        <v>0.11294589324230618</v>
      </c>
      <c r="K7" s="12">
        <v>1.7833333333333332E-3</v>
      </c>
      <c r="L7" s="6">
        <v>14308.143484523027</v>
      </c>
      <c r="M7" s="12">
        <v>3.5208333333333341E-2</v>
      </c>
    </row>
    <row r="8" spans="1:13" x14ac:dyDescent="0.2">
      <c r="A8">
        <v>5</v>
      </c>
      <c r="B8" t="s">
        <v>11</v>
      </c>
      <c r="C8" s="12">
        <v>7.9368488884115559E-2</v>
      </c>
      <c r="D8" s="12">
        <v>1.6999999999999999E-3</v>
      </c>
      <c r="E8" s="6">
        <v>14582.203467817737</v>
      </c>
      <c r="F8" s="12">
        <v>4.2499999999999989E-2</v>
      </c>
      <c r="H8">
        <v>5</v>
      </c>
      <c r="I8" t="s">
        <v>11</v>
      </c>
      <c r="J8" s="12">
        <v>8.2194078671475296E-2</v>
      </c>
      <c r="K8" s="12">
        <v>1.7833333333333332E-3</v>
      </c>
      <c r="L8" s="6">
        <v>14308.143484523027</v>
      </c>
      <c r="M8" s="12">
        <v>3.5208333333333341E-2</v>
      </c>
    </row>
    <row r="9" spans="1:13" x14ac:dyDescent="0.2">
      <c r="A9">
        <v>6</v>
      </c>
      <c r="B9" t="s">
        <v>13</v>
      </c>
      <c r="C9" s="12">
        <v>4.2748767473070881E-2</v>
      </c>
      <c r="D9" s="12">
        <v>1.6999999999999999E-3</v>
      </c>
      <c r="E9" s="6">
        <v>14582.203467817737</v>
      </c>
      <c r="F9" s="12">
        <v>4.2499999999999989E-2</v>
      </c>
      <c r="H9">
        <v>6</v>
      </c>
      <c r="I9" t="s">
        <v>13</v>
      </c>
      <c r="J9" s="12">
        <v>4.4924861535881287E-2</v>
      </c>
      <c r="K9" s="12">
        <v>1.7833333333333332E-3</v>
      </c>
      <c r="L9" s="6">
        <v>14308.143484523027</v>
      </c>
      <c r="M9" s="12">
        <v>3.5208333333333341E-2</v>
      </c>
    </row>
    <row r="10" spans="1:13" x14ac:dyDescent="0.2">
      <c r="A10">
        <v>7</v>
      </c>
      <c r="B10" t="s">
        <v>15</v>
      </c>
      <c r="C10" s="12">
        <v>6.0948003348404681E-2</v>
      </c>
      <c r="D10" s="12">
        <v>1.6999999999999999E-3</v>
      </c>
      <c r="E10" s="6">
        <v>14582.203467817737</v>
      </c>
      <c r="F10" s="12">
        <v>4.2499999999999989E-2</v>
      </c>
      <c r="H10">
        <v>7</v>
      </c>
      <c r="I10" t="s">
        <v>15</v>
      </c>
      <c r="J10" s="12">
        <v>6.4789740697909728E-2</v>
      </c>
      <c r="K10" s="12">
        <v>1.7833333333333332E-3</v>
      </c>
      <c r="L10" s="6">
        <v>14308.143484523027</v>
      </c>
      <c r="M10" s="12">
        <v>3.5208333333333341E-2</v>
      </c>
    </row>
    <row r="11" spans="1:13" x14ac:dyDescent="0.2">
      <c r="A11">
        <v>8</v>
      </c>
      <c r="B11" t="s">
        <v>17</v>
      </c>
      <c r="C11" s="12">
        <v>6.3786857416228068E-2</v>
      </c>
      <c r="D11" s="12">
        <v>1.6999999999999999E-3</v>
      </c>
      <c r="E11" s="6">
        <v>14582.203467817737</v>
      </c>
      <c r="F11" s="12">
        <v>4.2499999999999989E-2</v>
      </c>
      <c r="H11">
        <v>8</v>
      </c>
      <c r="I11" t="s">
        <v>17</v>
      </c>
      <c r="J11" s="12">
        <v>7.7476503857091372E-2</v>
      </c>
      <c r="K11" s="12">
        <v>1.7833333333333332E-3</v>
      </c>
      <c r="L11" s="6">
        <v>14308.143484523027</v>
      </c>
      <c r="M11" s="12">
        <v>3.5208333333333341E-2</v>
      </c>
    </row>
    <row r="12" spans="1:13" x14ac:dyDescent="0.2">
      <c r="A12">
        <v>9</v>
      </c>
      <c r="B12" t="s">
        <v>19</v>
      </c>
      <c r="C12" s="12">
        <v>4.6104762898424009E-2</v>
      </c>
      <c r="D12" s="12">
        <v>1.6999999999999999E-3</v>
      </c>
      <c r="E12" s="6">
        <v>14582.203467817737</v>
      </c>
      <c r="F12" s="12">
        <v>4.2499999999999989E-2</v>
      </c>
      <c r="H12">
        <v>9</v>
      </c>
      <c r="I12" t="s">
        <v>19</v>
      </c>
      <c r="J12" s="12">
        <v>4.7448848806123434E-2</v>
      </c>
      <c r="K12" s="12">
        <v>1.7833333333333332E-3</v>
      </c>
      <c r="L12" s="6">
        <v>14308.143484523027</v>
      </c>
      <c r="M12" s="12">
        <v>3.5208333333333341E-2</v>
      </c>
    </row>
    <row r="13" spans="1:13" x14ac:dyDescent="0.2">
      <c r="A13">
        <v>10</v>
      </c>
      <c r="B13" t="s">
        <v>21</v>
      </c>
      <c r="C13" s="12">
        <v>6.0685611441937452E-2</v>
      </c>
      <c r="D13" s="12">
        <v>1.6999999999999999E-3</v>
      </c>
      <c r="E13" s="6">
        <v>14582.203467817737</v>
      </c>
      <c r="F13" s="12">
        <v>4.2499999999999989E-2</v>
      </c>
      <c r="H13">
        <v>10</v>
      </c>
      <c r="I13" t="s">
        <v>21</v>
      </c>
      <c r="J13" s="12">
        <v>6.1104299455445446E-2</v>
      </c>
      <c r="K13" s="12">
        <v>1.7833333333333332E-3</v>
      </c>
      <c r="L13" s="6">
        <v>14308.143484523027</v>
      </c>
      <c r="M13" s="12">
        <v>3.5208333333333341E-2</v>
      </c>
    </row>
    <row r="14" spans="1:13" x14ac:dyDescent="0.2">
      <c r="A14">
        <v>11</v>
      </c>
      <c r="B14" t="s">
        <v>25</v>
      </c>
      <c r="C14" s="12">
        <v>3.8175067992431311E-2</v>
      </c>
      <c r="D14" s="12">
        <v>1.6999999999999999E-3</v>
      </c>
      <c r="E14" s="6">
        <v>14582.203467817737</v>
      </c>
      <c r="F14" s="12">
        <v>4.2499999999999989E-2</v>
      </c>
      <c r="H14">
        <v>11</v>
      </c>
      <c r="I14" t="s">
        <v>25</v>
      </c>
      <c r="J14" s="12">
        <v>4.3997552048063972E-2</v>
      </c>
      <c r="K14" s="12">
        <v>1.7833333333333332E-3</v>
      </c>
      <c r="L14" s="6">
        <v>14308.143484523027</v>
      </c>
      <c r="M14" s="12">
        <v>3.5208333333333341E-2</v>
      </c>
    </row>
    <row r="15" spans="1:13" x14ac:dyDescent="0.2">
      <c r="A15">
        <v>12</v>
      </c>
      <c r="B15" t="s">
        <v>27</v>
      </c>
      <c r="C15" s="12">
        <v>0.10695533728903669</v>
      </c>
      <c r="D15" s="12">
        <v>1.6999999999999999E-3</v>
      </c>
      <c r="E15" s="6">
        <v>14582.203467817737</v>
      </c>
      <c r="F15" s="12">
        <v>4.2499999999999989E-2</v>
      </c>
      <c r="H15">
        <v>12</v>
      </c>
      <c r="I15" t="s">
        <v>27</v>
      </c>
      <c r="J15" s="12">
        <v>0.13941492642339037</v>
      </c>
      <c r="K15" s="12">
        <v>1.7833333333333332E-3</v>
      </c>
      <c r="L15" s="6">
        <v>14308.143484523027</v>
      </c>
      <c r="M15" s="12">
        <v>3.5208333333333341E-2</v>
      </c>
    </row>
    <row r="16" spans="1:13" x14ac:dyDescent="0.2">
      <c r="A16">
        <v>13</v>
      </c>
      <c r="B16" t="s">
        <v>29</v>
      </c>
      <c r="C16" s="12">
        <v>5.8632134943335218E-2</v>
      </c>
      <c r="D16" s="12">
        <v>1.6999999999999999E-3</v>
      </c>
      <c r="E16" s="6">
        <v>14582.203467817737</v>
      </c>
      <c r="F16" s="12">
        <v>4.2499999999999989E-2</v>
      </c>
      <c r="H16">
        <v>13</v>
      </c>
      <c r="I16" t="s">
        <v>29</v>
      </c>
      <c r="J16" s="12">
        <v>7.8152325063435432E-2</v>
      </c>
      <c r="K16" s="12">
        <v>1.7833333333333332E-3</v>
      </c>
      <c r="L16" s="6">
        <v>14308.143484523027</v>
      </c>
      <c r="M16" s="12">
        <v>3.5208333333333341E-2</v>
      </c>
    </row>
    <row r="17" spans="1:13" x14ac:dyDescent="0.2">
      <c r="A17">
        <v>14</v>
      </c>
      <c r="B17" t="s">
        <v>31</v>
      </c>
      <c r="C17" s="12">
        <v>0.46640702279358842</v>
      </c>
      <c r="D17" s="12">
        <v>1.6999999999999999E-3</v>
      </c>
      <c r="E17" s="6">
        <v>14582.203467817737</v>
      </c>
      <c r="F17" s="12">
        <v>4.2499999999999989E-2</v>
      </c>
      <c r="H17">
        <v>14</v>
      </c>
      <c r="I17" t="s">
        <v>31</v>
      </c>
      <c r="J17" s="12">
        <v>0.44232044915351454</v>
      </c>
      <c r="K17" s="12">
        <v>1.7833333333333332E-3</v>
      </c>
      <c r="L17" s="6">
        <v>14308.143484523027</v>
      </c>
      <c r="M17" s="12">
        <v>3.5208333333333341E-2</v>
      </c>
    </row>
    <row r="18" spans="1:13" x14ac:dyDescent="0.2">
      <c r="A18">
        <v>15</v>
      </c>
      <c r="B18" t="s">
        <v>33</v>
      </c>
      <c r="C18" s="12">
        <v>0</v>
      </c>
      <c r="D18" s="12">
        <v>1.6999999999999999E-3</v>
      </c>
      <c r="E18" s="6">
        <v>14582.203467817737</v>
      </c>
      <c r="F18" s="12">
        <v>4.2499999999999989E-2</v>
      </c>
      <c r="H18">
        <v>15</v>
      </c>
      <c r="I18" t="s">
        <v>33</v>
      </c>
      <c r="J18" s="12">
        <v>0</v>
      </c>
      <c r="K18" s="12">
        <v>1.7833333333333332E-3</v>
      </c>
      <c r="L18" s="6">
        <v>14308.143484523027</v>
      </c>
      <c r="M18" s="12">
        <v>3.5208333333333341E-2</v>
      </c>
    </row>
    <row r="19" spans="1:13" x14ac:dyDescent="0.2">
      <c r="A19">
        <v>16</v>
      </c>
      <c r="B19" t="s">
        <v>35</v>
      </c>
      <c r="C19" s="12">
        <v>8.1127476168803871E-3</v>
      </c>
      <c r="D19" s="12">
        <v>1.6999999999999999E-3</v>
      </c>
      <c r="E19" s="6">
        <v>14582.203467817737</v>
      </c>
      <c r="F19" s="12">
        <v>4.2499999999999989E-2</v>
      </c>
      <c r="H19">
        <v>16</v>
      </c>
      <c r="I19" t="s">
        <v>35</v>
      </c>
      <c r="J19" s="12">
        <v>1.6369107255662568E-2</v>
      </c>
      <c r="K19" s="12">
        <v>1.7833333333333332E-3</v>
      </c>
      <c r="L19" s="6">
        <v>14308.143484523027</v>
      </c>
      <c r="M19" s="12">
        <v>3.5208333333333341E-2</v>
      </c>
    </row>
    <row r="20" spans="1:13" x14ac:dyDescent="0.2">
      <c r="A20">
        <v>17</v>
      </c>
      <c r="B20" t="s">
        <v>37</v>
      </c>
      <c r="C20" s="12">
        <v>1.8654149306515096E-2</v>
      </c>
      <c r="D20" s="12">
        <v>1.6999999999999999E-3</v>
      </c>
      <c r="E20" s="6">
        <v>14582.203467817737</v>
      </c>
      <c r="F20" s="12">
        <v>4.2499999999999989E-2</v>
      </c>
      <c r="H20">
        <v>17</v>
      </c>
      <c r="I20" t="s">
        <v>37</v>
      </c>
      <c r="J20" s="12">
        <v>1.5141082851989365E-2</v>
      </c>
      <c r="K20" s="12">
        <v>1.7833333333333332E-3</v>
      </c>
      <c r="L20" s="6">
        <v>14308.143484523027</v>
      </c>
      <c r="M20" s="12">
        <v>3.5208333333333341E-2</v>
      </c>
    </row>
    <row r="21" spans="1:13" x14ac:dyDescent="0.2">
      <c r="A21">
        <v>18</v>
      </c>
      <c r="B21" t="s">
        <v>39</v>
      </c>
      <c r="C21" s="12">
        <v>0</v>
      </c>
      <c r="D21" s="12">
        <v>1.6999999999999999E-3</v>
      </c>
      <c r="E21" s="6">
        <v>14582.203467817737</v>
      </c>
      <c r="F21" s="12">
        <v>4.2499999999999989E-2</v>
      </c>
      <c r="H21">
        <v>18</v>
      </c>
      <c r="I21" t="s">
        <v>39</v>
      </c>
      <c r="J21" s="12">
        <v>0</v>
      </c>
      <c r="K21" s="12">
        <v>1.7833333333333332E-3</v>
      </c>
      <c r="L21" s="6">
        <v>14308.143484523027</v>
      </c>
      <c r="M21" s="12">
        <v>3.5208333333333341E-2</v>
      </c>
    </row>
    <row r="22" spans="1:13" x14ac:dyDescent="0.2">
      <c r="A22">
        <v>19</v>
      </c>
      <c r="B22" t="s">
        <v>41</v>
      </c>
      <c r="C22" s="12">
        <v>2.8951873749681875E-2</v>
      </c>
      <c r="D22" s="12">
        <v>1.6999999999999999E-3</v>
      </c>
      <c r="E22" s="6">
        <v>14582.203467817737</v>
      </c>
      <c r="F22" s="12">
        <v>4.2499999999999989E-2</v>
      </c>
      <c r="H22">
        <v>19</v>
      </c>
      <c r="I22" t="s">
        <v>41</v>
      </c>
      <c r="J22" s="12">
        <v>1.8558361873835621E-2</v>
      </c>
      <c r="K22" s="12">
        <v>1.7833333333333332E-3</v>
      </c>
      <c r="L22" s="6">
        <v>14308.143484523027</v>
      </c>
      <c r="M22" s="12">
        <v>3.5208333333333341E-2</v>
      </c>
    </row>
    <row r="23" spans="1:13" x14ac:dyDescent="0.2">
      <c r="A23">
        <v>20</v>
      </c>
      <c r="B23" t="s">
        <v>43</v>
      </c>
      <c r="C23" s="12">
        <v>2.2308609627853231E-3</v>
      </c>
      <c r="D23" s="12">
        <v>1.6999999999999999E-3</v>
      </c>
      <c r="E23" s="6">
        <v>14582.203467817737</v>
      </c>
      <c r="F23" s="12">
        <v>4.2499999999999989E-2</v>
      </c>
      <c r="H23">
        <v>20</v>
      </c>
      <c r="I23" t="s">
        <v>43</v>
      </c>
      <c r="J23" s="12">
        <v>2.3197938717714429E-3</v>
      </c>
      <c r="K23" s="12">
        <v>1.7833333333333332E-3</v>
      </c>
      <c r="L23" s="6">
        <v>14308.143484523027</v>
      </c>
      <c r="M23" s="12">
        <v>3.5208333333333341E-2</v>
      </c>
    </row>
    <row r="24" spans="1:13" x14ac:dyDescent="0.2">
      <c r="A24">
        <v>21</v>
      </c>
      <c r="B24" t="s">
        <v>45</v>
      </c>
      <c r="C24" s="12">
        <v>8.4841482763492265E-2</v>
      </c>
      <c r="D24" s="12">
        <v>1.6999999999999999E-3</v>
      </c>
      <c r="E24" s="6">
        <v>14582.203467817737</v>
      </c>
      <c r="F24" s="12">
        <v>4.2499999999999989E-2</v>
      </c>
      <c r="H24">
        <v>21</v>
      </c>
      <c r="I24" t="s">
        <v>45</v>
      </c>
      <c r="J24" s="12">
        <v>8.5783515072178365E-2</v>
      </c>
      <c r="K24" s="12">
        <v>1.7833333333333332E-3</v>
      </c>
      <c r="L24" s="6">
        <v>14308.143484523027</v>
      </c>
      <c r="M24" s="12">
        <v>3.5208333333333341E-2</v>
      </c>
    </row>
    <row r="25" spans="1:13" x14ac:dyDescent="0.2">
      <c r="A25">
        <v>22</v>
      </c>
      <c r="B25" t="s">
        <v>47</v>
      </c>
      <c r="C25" s="12">
        <v>7.7656709411212416E-2</v>
      </c>
      <c r="D25" s="12">
        <v>1.6999999999999999E-3</v>
      </c>
      <c r="E25" s="6">
        <v>14582.203467817737</v>
      </c>
      <c r="F25" s="12">
        <v>4.2499999999999989E-2</v>
      </c>
      <c r="H25">
        <v>22</v>
      </c>
      <c r="I25" t="s">
        <v>47</v>
      </c>
      <c r="J25" s="12">
        <v>2.5538573887642795E-2</v>
      </c>
      <c r="K25" s="12">
        <v>1.7833333333333332E-3</v>
      </c>
      <c r="L25" s="6">
        <v>14308.143484523027</v>
      </c>
      <c r="M25" s="12">
        <v>3.5208333333333341E-2</v>
      </c>
    </row>
    <row r="26" spans="1:13" x14ac:dyDescent="0.2">
      <c r="A26">
        <v>23</v>
      </c>
      <c r="B26" t="s">
        <v>49</v>
      </c>
      <c r="C26" s="12">
        <v>6.5178390290667382E-2</v>
      </c>
      <c r="D26" s="12">
        <v>1.6999999999999999E-3</v>
      </c>
      <c r="E26" s="6">
        <v>14582.203467817737</v>
      </c>
      <c r="F26" s="12">
        <v>4.2499999999999989E-2</v>
      </c>
      <c r="H26">
        <v>23</v>
      </c>
      <c r="I26" t="s">
        <v>49</v>
      </c>
      <c r="J26" s="12">
        <v>5.604903476378198E-2</v>
      </c>
      <c r="K26" s="12">
        <v>1.7833333333333332E-3</v>
      </c>
      <c r="L26" s="6">
        <v>14308.143484523027</v>
      </c>
      <c r="M26" s="12">
        <v>3.5208333333333341E-2</v>
      </c>
    </row>
    <row r="27" spans="1:13" x14ac:dyDescent="0.2">
      <c r="A27">
        <v>24</v>
      </c>
      <c r="B27" t="s">
        <v>51</v>
      </c>
      <c r="C27" s="12">
        <v>2.7976427887537739E-2</v>
      </c>
      <c r="D27" s="12">
        <v>1.6999999999999999E-3</v>
      </c>
      <c r="E27" s="6">
        <v>14582.203467817737</v>
      </c>
      <c r="F27" s="12">
        <v>4.2499999999999989E-2</v>
      </c>
      <c r="H27">
        <v>24</v>
      </c>
      <c r="I27" t="s">
        <v>51</v>
      </c>
      <c r="J27" s="12">
        <v>2.3860082399510679E-2</v>
      </c>
      <c r="K27" s="12">
        <v>1.7833333333333332E-3</v>
      </c>
      <c r="L27" s="6">
        <v>14308.143484523027</v>
      </c>
      <c r="M27" s="12">
        <v>3.5208333333333341E-2</v>
      </c>
    </row>
    <row r="28" spans="1:13" x14ac:dyDescent="0.2">
      <c r="A28">
        <v>25</v>
      </c>
      <c r="B28" t="s">
        <v>53</v>
      </c>
      <c r="C28" s="12">
        <v>6.8242168469104482E-3</v>
      </c>
      <c r="D28" s="12">
        <v>1.6999999999999999E-3</v>
      </c>
      <c r="E28" s="6">
        <v>14582.203467817737</v>
      </c>
      <c r="F28" s="12">
        <v>4.2499999999999989E-2</v>
      </c>
      <c r="H28">
        <v>25</v>
      </c>
      <c r="I28" t="s">
        <v>53</v>
      </c>
      <c r="J28" s="12">
        <v>7.1133287384969306E-3</v>
      </c>
      <c r="K28" s="12">
        <v>1.7833333333333332E-3</v>
      </c>
      <c r="L28" s="6">
        <v>14308.143484523027</v>
      </c>
      <c r="M28" s="12">
        <v>3.5208333333333341E-2</v>
      </c>
    </row>
    <row r="29" spans="1:13" x14ac:dyDescent="0.2">
      <c r="A29">
        <v>26</v>
      </c>
      <c r="B29" t="s">
        <v>55</v>
      </c>
      <c r="C29" s="12">
        <v>0</v>
      </c>
      <c r="D29" s="12">
        <v>1.6999999999999999E-3</v>
      </c>
      <c r="E29" s="6">
        <v>14582.203467817737</v>
      </c>
      <c r="F29" s="12">
        <v>4.2499999999999989E-2</v>
      </c>
      <c r="H29">
        <v>26</v>
      </c>
      <c r="I29" t="s">
        <v>55</v>
      </c>
      <c r="J29" s="12">
        <v>0</v>
      </c>
      <c r="K29" s="12">
        <v>1.7833333333333332E-3</v>
      </c>
      <c r="L29" s="6">
        <v>14308.143484523027</v>
      </c>
      <c r="M29" s="12">
        <v>3.5208333333333341E-2</v>
      </c>
    </row>
    <row r="30" spans="1:13" x14ac:dyDescent="0.2">
      <c r="A30">
        <v>27</v>
      </c>
      <c r="B30" t="s">
        <v>59</v>
      </c>
      <c r="C30" s="12">
        <v>9.059788615555172E-3</v>
      </c>
      <c r="D30" s="12">
        <v>1.6999999999999999E-3</v>
      </c>
      <c r="E30" s="6">
        <v>14582.203467817737</v>
      </c>
      <c r="F30" s="12">
        <v>4.2499999999999989E-2</v>
      </c>
      <c r="H30">
        <v>27</v>
      </c>
      <c r="I30" t="s">
        <v>59</v>
      </c>
      <c r="J30" s="12">
        <v>3.7140545184873822E-2</v>
      </c>
      <c r="K30" s="12">
        <v>1.7833333333333332E-3</v>
      </c>
      <c r="L30" s="6">
        <v>14308.143484523027</v>
      </c>
      <c r="M30" s="12">
        <v>3.5208333333333341E-2</v>
      </c>
    </row>
    <row r="31" spans="1:13" x14ac:dyDescent="0.2">
      <c r="A31">
        <v>28</v>
      </c>
      <c r="B31" t="s">
        <v>61</v>
      </c>
      <c r="C31" s="12">
        <v>2.7534256667157801E-3</v>
      </c>
      <c r="D31" s="12">
        <v>1.6999999999999999E-3</v>
      </c>
      <c r="E31" s="6">
        <v>14582.203467817737</v>
      </c>
      <c r="F31" s="12">
        <v>4.2499999999999989E-2</v>
      </c>
      <c r="H31">
        <v>28</v>
      </c>
      <c r="I31" t="s">
        <v>61</v>
      </c>
      <c r="J31" s="12">
        <v>2.1891771183400327E-3</v>
      </c>
      <c r="K31" s="12">
        <v>1.7833333333333332E-3</v>
      </c>
      <c r="L31" s="6">
        <v>14308.143484523027</v>
      </c>
      <c r="M31" s="12">
        <v>3.5208333333333341E-2</v>
      </c>
    </row>
    <row r="32" spans="1:13" x14ac:dyDescent="0.2">
      <c r="A32">
        <v>29</v>
      </c>
      <c r="B32" t="s">
        <v>63</v>
      </c>
      <c r="C32" s="12">
        <v>0.16646298946274535</v>
      </c>
      <c r="D32" s="12">
        <v>1.6999999999999999E-3</v>
      </c>
      <c r="E32" s="6">
        <v>14582.203467817737</v>
      </c>
      <c r="F32" s="12">
        <v>4.2499999999999989E-2</v>
      </c>
      <c r="H32">
        <v>29</v>
      </c>
      <c r="I32" t="s">
        <v>63</v>
      </c>
      <c r="J32" s="12">
        <v>0.21819352304586567</v>
      </c>
      <c r="K32" s="12">
        <v>1.7833333333333332E-3</v>
      </c>
      <c r="L32" s="6">
        <v>14308.143484523027</v>
      </c>
      <c r="M32" s="12">
        <v>3.5208333333333341E-2</v>
      </c>
    </row>
    <row r="33" spans="1:13" x14ac:dyDescent="0.2">
      <c r="A33">
        <v>30</v>
      </c>
      <c r="B33" t="s">
        <v>65</v>
      </c>
      <c r="C33" s="12">
        <v>0.10366332048005243</v>
      </c>
      <c r="D33" s="12">
        <v>1.6999999999999999E-3</v>
      </c>
      <c r="E33" s="6">
        <v>14582.203467817737</v>
      </c>
      <c r="F33" s="12">
        <v>4.2499999999999989E-2</v>
      </c>
      <c r="H33">
        <v>30</v>
      </c>
      <c r="I33" t="s">
        <v>65</v>
      </c>
      <c r="J33" s="12">
        <v>6.0315949090850744E-2</v>
      </c>
      <c r="K33" s="12">
        <v>1.7833333333333332E-3</v>
      </c>
      <c r="L33" s="6">
        <v>14308.143484523027</v>
      </c>
      <c r="M33" s="12">
        <v>3.5208333333333341E-2</v>
      </c>
    </row>
    <row r="34" spans="1:13" x14ac:dyDescent="0.2">
      <c r="A34">
        <v>31</v>
      </c>
      <c r="B34" t="s">
        <v>67</v>
      </c>
      <c r="C34" s="12">
        <v>0.16029287580855983</v>
      </c>
      <c r="D34" s="12">
        <v>1.6999999999999999E-3</v>
      </c>
      <c r="E34" s="6">
        <v>14582.203467817737</v>
      </c>
      <c r="F34" s="12">
        <v>4.2499999999999989E-2</v>
      </c>
      <c r="H34">
        <v>31</v>
      </c>
      <c r="I34" t="s">
        <v>67</v>
      </c>
      <c r="J34" s="12">
        <v>0.14766204872066627</v>
      </c>
      <c r="K34" s="12">
        <v>1.7833333333333332E-3</v>
      </c>
      <c r="L34" s="6">
        <v>14308.143484523027</v>
      </c>
      <c r="M34" s="12">
        <v>3.5208333333333341E-2</v>
      </c>
    </row>
    <row r="35" spans="1:13" x14ac:dyDescent="0.2">
      <c r="A35">
        <v>32</v>
      </c>
      <c r="B35" t="s">
        <v>69</v>
      </c>
      <c r="C35" s="12">
        <v>1.4629249697843416E-3</v>
      </c>
      <c r="D35" s="12">
        <v>1.6999999999999999E-3</v>
      </c>
      <c r="E35" s="6">
        <v>14582.203467817737</v>
      </c>
      <c r="F35" s="12">
        <v>4.2499999999999989E-2</v>
      </c>
      <c r="H35">
        <v>32</v>
      </c>
      <c r="I35" t="s">
        <v>69</v>
      </c>
      <c r="J35" s="12">
        <v>2.1444693214061013E-2</v>
      </c>
      <c r="K35" s="12">
        <v>1.7833333333333332E-3</v>
      </c>
      <c r="L35" s="6">
        <v>14308.143484523027</v>
      </c>
      <c r="M35" s="12">
        <v>3.5208333333333341E-2</v>
      </c>
    </row>
    <row r="36" spans="1:13" x14ac:dyDescent="0.2">
      <c r="A36">
        <v>33</v>
      </c>
      <c r="B36" t="s">
        <v>71</v>
      </c>
      <c r="C36" s="12">
        <v>0.1204509085660844</v>
      </c>
      <c r="D36" s="12">
        <v>1.6999999999999999E-3</v>
      </c>
      <c r="E36" s="6">
        <v>14582.203467817737</v>
      </c>
      <c r="F36" s="12">
        <v>4.2499999999999989E-2</v>
      </c>
      <c r="H36">
        <v>33</v>
      </c>
      <c r="I36" t="s">
        <v>71</v>
      </c>
      <c r="J36" s="12">
        <v>0.14591336604978858</v>
      </c>
      <c r="K36" s="12">
        <v>1.7833333333333332E-3</v>
      </c>
      <c r="L36" s="6">
        <v>14308.143484523027</v>
      </c>
      <c r="M36" s="12">
        <v>3.5208333333333341E-2</v>
      </c>
    </row>
    <row r="37" spans="1:13" x14ac:dyDescent="0.2">
      <c r="A37">
        <v>34</v>
      </c>
      <c r="B37" t="s">
        <v>139</v>
      </c>
      <c r="C37" s="12">
        <v>5.4233757490381503E-3</v>
      </c>
      <c r="D37" s="12">
        <v>1.6999999999999999E-3</v>
      </c>
      <c r="E37" s="6">
        <v>14582.203467817737</v>
      </c>
      <c r="F37" s="12">
        <v>4.2499999999999989E-2</v>
      </c>
      <c r="H37">
        <v>34</v>
      </c>
      <c r="I37" t="s">
        <v>139</v>
      </c>
      <c r="J37" s="12">
        <v>5.0073847694441273E-2</v>
      </c>
      <c r="K37" s="12">
        <v>1.7833333333333332E-3</v>
      </c>
      <c r="L37" s="6">
        <v>14308.143484523027</v>
      </c>
      <c r="M37" s="12">
        <v>3.5208333333333341E-2</v>
      </c>
    </row>
    <row r="38" spans="1:13" x14ac:dyDescent="0.2">
      <c r="A38">
        <v>35</v>
      </c>
      <c r="B38" t="s">
        <v>73</v>
      </c>
      <c r="C38" s="12">
        <v>2.1449362177721851E-2</v>
      </c>
      <c r="D38" s="12">
        <v>1.6999999999999999E-3</v>
      </c>
      <c r="E38" s="6">
        <v>14582.203467817737</v>
      </c>
      <c r="F38" s="12">
        <v>4.2499999999999989E-2</v>
      </c>
      <c r="H38">
        <v>35</v>
      </c>
      <c r="I38" t="s">
        <v>73</v>
      </c>
      <c r="J38" s="12">
        <v>2.3989461607645101E-2</v>
      </c>
      <c r="K38" s="12">
        <v>1.7833333333333332E-3</v>
      </c>
      <c r="L38" s="6">
        <v>14308.143484523027</v>
      </c>
      <c r="M38" s="12">
        <v>3.5208333333333341E-2</v>
      </c>
    </row>
    <row r="39" spans="1:13" x14ac:dyDescent="0.2">
      <c r="A39">
        <v>36</v>
      </c>
      <c r="B39" t="s">
        <v>77</v>
      </c>
      <c r="C39" s="12">
        <v>0.20732602412954723</v>
      </c>
      <c r="D39" s="12">
        <v>1.6999999999999999E-3</v>
      </c>
      <c r="E39" s="6">
        <v>14582.203467817737</v>
      </c>
      <c r="F39" s="12">
        <v>4.2499999999999989E-2</v>
      </c>
      <c r="H39">
        <v>36</v>
      </c>
      <c r="I39" t="s">
        <v>77</v>
      </c>
      <c r="J39" s="12">
        <v>0.26590180529778978</v>
      </c>
      <c r="K39" s="12">
        <v>1.7833333333333332E-3</v>
      </c>
      <c r="L39" s="6">
        <v>14308.143484523027</v>
      </c>
      <c r="M39" s="12">
        <v>3.5208333333333341E-2</v>
      </c>
    </row>
    <row r="40" spans="1:13" x14ac:dyDescent="0.2">
      <c r="A40">
        <v>37</v>
      </c>
      <c r="B40" t="s">
        <v>79</v>
      </c>
      <c r="C40" s="12">
        <v>0.42438702472206713</v>
      </c>
      <c r="D40" s="12">
        <v>1.6999999999999999E-3</v>
      </c>
      <c r="E40" s="6">
        <v>14582.203467817737</v>
      </c>
      <c r="F40" s="12">
        <v>4.2499999999999989E-2</v>
      </c>
      <c r="H40">
        <v>37</v>
      </c>
      <c r="I40" t="s">
        <v>79</v>
      </c>
      <c r="J40" s="12">
        <v>0.47829818538499264</v>
      </c>
      <c r="K40" s="12">
        <v>1.7833333333333332E-3</v>
      </c>
      <c r="L40" s="6">
        <v>14308.143484523027</v>
      </c>
      <c r="M40" s="12">
        <v>3.5208333333333341E-2</v>
      </c>
    </row>
    <row r="41" spans="1:13" x14ac:dyDescent="0.2">
      <c r="A41">
        <v>38</v>
      </c>
      <c r="B41" t="s">
        <v>81</v>
      </c>
      <c r="C41" s="12">
        <v>8.0469290495473411E-2</v>
      </c>
      <c r="D41" s="12">
        <v>1.6999999999999999E-3</v>
      </c>
      <c r="E41" s="6">
        <v>14582.203467817737</v>
      </c>
      <c r="F41" s="12">
        <v>4.2499999999999989E-2</v>
      </c>
      <c r="H41">
        <v>38</v>
      </c>
      <c r="I41" t="s">
        <v>81</v>
      </c>
      <c r="J41" s="12">
        <v>4.3417885250466109E-2</v>
      </c>
      <c r="K41" s="12">
        <v>1.7833333333333332E-3</v>
      </c>
      <c r="L41" s="6">
        <v>14308.143484523027</v>
      </c>
      <c r="M41" s="12">
        <v>3.5208333333333341E-2</v>
      </c>
    </row>
    <row r="42" spans="1:13" x14ac:dyDescent="0.2">
      <c r="A42">
        <v>39</v>
      </c>
      <c r="B42" t="s">
        <v>85</v>
      </c>
      <c r="C42" s="12">
        <v>6.6259173494371409E-2</v>
      </c>
      <c r="D42" s="12">
        <v>1.6999999999999999E-3</v>
      </c>
      <c r="E42" s="6">
        <v>14582.203467817737</v>
      </c>
      <c r="F42" s="12">
        <v>4.2499999999999989E-2</v>
      </c>
      <c r="H42">
        <v>39</v>
      </c>
      <c r="I42" t="s">
        <v>85</v>
      </c>
      <c r="J42" s="12">
        <v>6.8176562564486926E-2</v>
      </c>
      <c r="K42" s="12">
        <v>1.7833333333333332E-3</v>
      </c>
      <c r="L42" s="6">
        <v>14308.143484523027</v>
      </c>
      <c r="M42" s="12">
        <v>3.5208333333333341E-2</v>
      </c>
    </row>
    <row r="43" spans="1:13" x14ac:dyDescent="0.2">
      <c r="A43">
        <v>40</v>
      </c>
      <c r="B43" t="s">
        <v>87</v>
      </c>
      <c r="C43" s="12">
        <v>2.8311570775990929E-2</v>
      </c>
      <c r="D43" s="12">
        <v>1.6999999999999999E-3</v>
      </c>
      <c r="E43" s="6">
        <v>14582.203467817737</v>
      </c>
      <c r="F43" s="12">
        <v>4.2499999999999989E-2</v>
      </c>
      <c r="H43">
        <v>40</v>
      </c>
      <c r="I43" t="s">
        <v>87</v>
      </c>
      <c r="J43" s="12">
        <v>4.081126861544656E-2</v>
      </c>
      <c r="K43" s="12">
        <v>1.7833333333333332E-3</v>
      </c>
      <c r="L43" s="6">
        <v>14308.143484523027</v>
      </c>
      <c r="M43" s="12">
        <v>3.5208333333333341E-2</v>
      </c>
    </row>
    <row r="44" spans="1:13" x14ac:dyDescent="0.2">
      <c r="A44">
        <v>41</v>
      </c>
      <c r="B44" t="s">
        <v>89</v>
      </c>
      <c r="C44" s="12">
        <v>0.1508023321605865</v>
      </c>
      <c r="D44" s="12">
        <v>1.6999999999999999E-3</v>
      </c>
      <c r="E44" s="6">
        <v>14582.203467817737</v>
      </c>
      <c r="F44" s="12">
        <v>4.2499999999999989E-2</v>
      </c>
      <c r="H44">
        <v>41</v>
      </c>
      <c r="I44" t="s">
        <v>89</v>
      </c>
      <c r="J44" s="12">
        <v>0.12908802045510417</v>
      </c>
      <c r="K44" s="12">
        <v>1.7833333333333332E-3</v>
      </c>
      <c r="L44" s="6">
        <v>14308.143484523027</v>
      </c>
      <c r="M44" s="12">
        <v>3.5208333333333341E-2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C9626-7253-B64E-B24B-2023FB0FD762}">
  <dimension ref="A1"/>
  <sheetViews>
    <sheetView workbookViewId="0">
      <selection activeCell="H8" sqref="H8:I8"/>
    </sheetView>
  </sheetViews>
  <sheetFormatPr baseColWidth="10" defaultRowHeight="16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CFD6-E28B-3444-B30C-78A353E664B2}">
  <dimension ref="B4:F252"/>
  <sheetViews>
    <sheetView workbookViewId="0">
      <selection activeCell="H8" sqref="H8:I8"/>
    </sheetView>
  </sheetViews>
  <sheetFormatPr baseColWidth="10" defaultRowHeight="16" x14ac:dyDescent="0.2"/>
  <cols>
    <col min="5" max="5" width="16.6640625" bestFit="1" customWidth="1"/>
  </cols>
  <sheetData>
    <row r="4" spans="2:6" x14ac:dyDescent="0.2">
      <c r="B4" s="26">
        <v>4.1666666666666664E-2</v>
      </c>
      <c r="C4" s="27">
        <v>14175.53</v>
      </c>
      <c r="D4" s="27">
        <v>14034.48</v>
      </c>
      <c r="E4" t="s">
        <v>343</v>
      </c>
      <c r="F4" s="27">
        <f t="shared" ref="F4:F67" si="0">AVERAGE(C4:D4)</f>
        <v>14105.005000000001</v>
      </c>
    </row>
    <row r="5" spans="2:6" x14ac:dyDescent="0.2">
      <c r="B5" s="26">
        <v>4.1666666666666664E-2</v>
      </c>
      <c r="C5" s="27">
        <v>14175.53</v>
      </c>
      <c r="D5" s="27">
        <v>14034.48</v>
      </c>
      <c r="E5" t="s">
        <v>344</v>
      </c>
      <c r="F5" s="27">
        <f t="shared" si="0"/>
        <v>14105.005000000001</v>
      </c>
    </row>
    <row r="6" spans="2:6" x14ac:dyDescent="0.2">
      <c r="B6" s="26">
        <v>4.1666666666666664E-2</v>
      </c>
      <c r="C6" s="27">
        <v>14239.85</v>
      </c>
      <c r="D6" s="27">
        <v>14098.16</v>
      </c>
      <c r="E6" t="s">
        <v>345</v>
      </c>
      <c r="F6" s="27">
        <f t="shared" si="0"/>
        <v>14169.005000000001</v>
      </c>
    </row>
    <row r="7" spans="2:6" x14ac:dyDescent="0.2">
      <c r="B7" s="26">
        <v>4.1666666666666664E-2</v>
      </c>
      <c r="C7" s="27">
        <v>14254.92</v>
      </c>
      <c r="D7" s="27">
        <v>14113.08</v>
      </c>
      <c r="E7" t="s">
        <v>346</v>
      </c>
      <c r="F7" s="27">
        <f t="shared" si="0"/>
        <v>14184</v>
      </c>
    </row>
    <row r="8" spans="2:6" x14ac:dyDescent="0.2">
      <c r="B8" s="26">
        <v>4.1666666666666664E-2</v>
      </c>
      <c r="C8" s="27">
        <v>14353.41</v>
      </c>
      <c r="D8" s="27">
        <v>14210.59</v>
      </c>
      <c r="E8" t="s">
        <v>347</v>
      </c>
      <c r="F8" s="27">
        <f t="shared" si="0"/>
        <v>14282</v>
      </c>
    </row>
    <row r="9" spans="2:6" x14ac:dyDescent="0.2">
      <c r="B9" s="26">
        <v>4.1666666666666664E-2</v>
      </c>
      <c r="C9" s="27">
        <v>14353.41</v>
      </c>
      <c r="D9" s="27">
        <v>14210.59</v>
      </c>
      <c r="E9" t="s">
        <v>348</v>
      </c>
      <c r="F9" s="27">
        <f t="shared" si="0"/>
        <v>14282</v>
      </c>
    </row>
    <row r="10" spans="2:6" x14ac:dyDescent="0.2">
      <c r="B10" s="26">
        <v>4.1666666666666664E-2</v>
      </c>
      <c r="C10" s="27">
        <v>14353.41</v>
      </c>
      <c r="D10" s="27">
        <v>14210.59</v>
      </c>
      <c r="E10" t="s">
        <v>349</v>
      </c>
      <c r="F10" s="27">
        <f t="shared" si="0"/>
        <v>14282</v>
      </c>
    </row>
    <row r="11" spans="2:6" x14ac:dyDescent="0.2">
      <c r="B11" s="26">
        <v>4.1666666666666664E-2</v>
      </c>
      <c r="C11" s="27">
        <v>14289.09</v>
      </c>
      <c r="D11" s="27">
        <v>14146.91</v>
      </c>
      <c r="E11" t="s">
        <v>350</v>
      </c>
      <c r="F11" s="27">
        <f t="shared" si="0"/>
        <v>14218</v>
      </c>
    </row>
    <row r="12" spans="2:6" x14ac:dyDescent="0.2">
      <c r="B12" s="26">
        <v>4.1666666666666664E-2</v>
      </c>
      <c r="C12" s="27">
        <v>14250.9</v>
      </c>
      <c r="D12" s="27">
        <v>14109.1</v>
      </c>
      <c r="E12" t="s">
        <v>351</v>
      </c>
      <c r="F12" s="27">
        <f t="shared" si="0"/>
        <v>14180</v>
      </c>
    </row>
    <row r="13" spans="2:6" x14ac:dyDescent="0.2">
      <c r="B13" s="26">
        <v>4.1666666666666664E-2</v>
      </c>
      <c r="C13" s="27">
        <v>14216.73</v>
      </c>
      <c r="D13" s="27">
        <v>14075.27</v>
      </c>
      <c r="E13" t="s">
        <v>352</v>
      </c>
      <c r="F13" s="27">
        <f t="shared" si="0"/>
        <v>14146</v>
      </c>
    </row>
    <row r="14" spans="2:6" x14ac:dyDescent="0.2">
      <c r="B14" s="26">
        <v>4.1666666666666664E-2</v>
      </c>
      <c r="C14" s="27">
        <v>14222.76</v>
      </c>
      <c r="D14" s="27">
        <v>14081.24</v>
      </c>
      <c r="E14" t="s">
        <v>353</v>
      </c>
      <c r="F14" s="27">
        <f t="shared" si="0"/>
        <v>14152</v>
      </c>
    </row>
    <row r="15" spans="2:6" x14ac:dyDescent="0.2">
      <c r="B15" s="26">
        <v>4.1666666666666664E-2</v>
      </c>
      <c r="C15" s="27">
        <v>14221.76</v>
      </c>
      <c r="D15" s="27">
        <v>14080.25</v>
      </c>
      <c r="E15" t="s">
        <v>354</v>
      </c>
      <c r="F15" s="27">
        <f t="shared" si="0"/>
        <v>14151.005000000001</v>
      </c>
    </row>
    <row r="16" spans="2:6" x14ac:dyDescent="0.2">
      <c r="B16" s="26">
        <v>4.1666666666666664E-2</v>
      </c>
      <c r="C16" s="27">
        <v>14241.86</v>
      </c>
      <c r="D16" s="27">
        <v>14100.15</v>
      </c>
      <c r="E16" t="s">
        <v>355</v>
      </c>
      <c r="F16" s="27">
        <f t="shared" si="0"/>
        <v>14171.005000000001</v>
      </c>
    </row>
    <row r="17" spans="2:6" x14ac:dyDescent="0.2">
      <c r="B17" s="26">
        <v>4.1666666666666664E-2</v>
      </c>
      <c r="C17" s="27">
        <v>14228.79</v>
      </c>
      <c r="D17" s="27">
        <v>14087.21</v>
      </c>
      <c r="E17" t="s">
        <v>356</v>
      </c>
      <c r="F17" s="27">
        <f t="shared" si="0"/>
        <v>14158</v>
      </c>
    </row>
    <row r="18" spans="2:6" x14ac:dyDescent="0.2">
      <c r="B18" s="26">
        <v>4.1666666666666664E-2</v>
      </c>
      <c r="C18" s="27">
        <v>14172.51</v>
      </c>
      <c r="D18" s="27">
        <v>14031.49</v>
      </c>
      <c r="E18" t="s">
        <v>357</v>
      </c>
      <c r="F18" s="27">
        <f t="shared" si="0"/>
        <v>14102</v>
      </c>
    </row>
    <row r="19" spans="2:6" x14ac:dyDescent="0.2">
      <c r="B19" s="26">
        <v>4.1666666666666664E-2</v>
      </c>
      <c r="C19" s="27">
        <v>14200.65</v>
      </c>
      <c r="D19" s="27">
        <v>14059.35</v>
      </c>
      <c r="E19" t="s">
        <v>358</v>
      </c>
      <c r="F19" s="27">
        <f t="shared" si="0"/>
        <v>14130</v>
      </c>
    </row>
    <row r="20" spans="2:6" x14ac:dyDescent="0.2">
      <c r="B20" s="26">
        <v>4.1666666666666664E-2</v>
      </c>
      <c r="C20" s="27">
        <v>14234.82</v>
      </c>
      <c r="D20" s="27">
        <v>14093.18</v>
      </c>
      <c r="E20" t="s">
        <v>359</v>
      </c>
      <c r="F20" s="27">
        <f t="shared" si="0"/>
        <v>14164</v>
      </c>
    </row>
    <row r="21" spans="2:6" x14ac:dyDescent="0.2">
      <c r="B21" s="26">
        <v>4.1666666666666664E-2</v>
      </c>
      <c r="C21" s="27">
        <v>14234.82</v>
      </c>
      <c r="D21" s="27">
        <v>14093.18</v>
      </c>
      <c r="E21" t="s">
        <v>360</v>
      </c>
      <c r="F21" s="27">
        <f t="shared" si="0"/>
        <v>14164</v>
      </c>
    </row>
    <row r="22" spans="2:6" x14ac:dyDescent="0.2">
      <c r="B22" s="26">
        <v>4.1666666666666664E-2</v>
      </c>
      <c r="C22" s="27">
        <v>14205.68</v>
      </c>
      <c r="D22" s="27">
        <v>14064.33</v>
      </c>
      <c r="E22" t="s">
        <v>361</v>
      </c>
      <c r="F22" s="27">
        <f t="shared" si="0"/>
        <v>14135.005000000001</v>
      </c>
    </row>
    <row r="23" spans="2:6" x14ac:dyDescent="0.2">
      <c r="B23" s="26">
        <v>4.1666666666666664E-2</v>
      </c>
      <c r="C23" s="27">
        <v>14252.91</v>
      </c>
      <c r="D23" s="27">
        <v>14111.09</v>
      </c>
      <c r="E23" t="s">
        <v>362</v>
      </c>
      <c r="F23" s="27">
        <f t="shared" si="0"/>
        <v>14182</v>
      </c>
    </row>
    <row r="24" spans="2:6" x14ac:dyDescent="0.2">
      <c r="B24" s="26">
        <v>4.1666666666666664E-2</v>
      </c>
      <c r="C24" s="27">
        <v>14247.89</v>
      </c>
      <c r="D24" s="27">
        <v>14106.12</v>
      </c>
      <c r="E24" t="s">
        <v>363</v>
      </c>
      <c r="F24" s="27">
        <f t="shared" si="0"/>
        <v>14177.005000000001</v>
      </c>
    </row>
    <row r="25" spans="2:6" x14ac:dyDescent="0.2">
      <c r="B25" s="26">
        <v>4.1666666666666664E-2</v>
      </c>
      <c r="C25" s="27">
        <v>14234.82</v>
      </c>
      <c r="D25" s="27">
        <v>14093.18</v>
      </c>
      <c r="E25" t="s">
        <v>364</v>
      </c>
      <c r="F25" s="27">
        <f t="shared" si="0"/>
        <v>14164</v>
      </c>
    </row>
    <row r="26" spans="2:6" x14ac:dyDescent="0.2">
      <c r="B26" s="26">
        <v>4.1666666666666664E-2</v>
      </c>
      <c r="C26" s="27">
        <v>14248.89</v>
      </c>
      <c r="D26" s="27">
        <v>14107.11</v>
      </c>
      <c r="E26" t="s">
        <v>365</v>
      </c>
      <c r="F26" s="27">
        <f t="shared" si="0"/>
        <v>14178</v>
      </c>
    </row>
    <row r="27" spans="2:6" x14ac:dyDescent="0.2">
      <c r="B27" s="26">
        <v>4.1666666666666664E-2</v>
      </c>
      <c r="C27" s="27">
        <v>14198.64</v>
      </c>
      <c r="D27" s="27">
        <v>14057.36</v>
      </c>
      <c r="E27" s="28">
        <v>44165</v>
      </c>
      <c r="F27" s="27">
        <f t="shared" si="0"/>
        <v>14128</v>
      </c>
    </row>
    <row r="28" spans="2:6" x14ac:dyDescent="0.2">
      <c r="B28" s="26">
        <v>4.1666666666666664E-2</v>
      </c>
      <c r="C28" s="27">
        <v>14215.73</v>
      </c>
      <c r="D28" s="27">
        <v>14074.28</v>
      </c>
      <c r="E28" s="28">
        <v>44162</v>
      </c>
      <c r="F28" s="27">
        <f t="shared" si="0"/>
        <v>14145.005000000001</v>
      </c>
    </row>
    <row r="29" spans="2:6" x14ac:dyDescent="0.2">
      <c r="B29" s="26">
        <v>4.1666666666666664E-2</v>
      </c>
      <c r="C29" s="27">
        <v>14200.65</v>
      </c>
      <c r="D29" s="27">
        <v>14059.35</v>
      </c>
      <c r="E29" s="28">
        <v>44161</v>
      </c>
      <c r="F29" s="27">
        <f t="shared" si="0"/>
        <v>14130</v>
      </c>
    </row>
    <row r="30" spans="2:6" x14ac:dyDescent="0.2">
      <c r="B30" s="26">
        <v>4.1666666666666664E-2</v>
      </c>
      <c r="C30" s="27">
        <v>14239.85</v>
      </c>
      <c r="D30" s="27">
        <v>14098.16</v>
      </c>
      <c r="E30" s="28">
        <v>44160</v>
      </c>
      <c r="F30" s="27">
        <f t="shared" si="0"/>
        <v>14169.005000000001</v>
      </c>
    </row>
    <row r="31" spans="2:6" x14ac:dyDescent="0.2">
      <c r="B31" s="26">
        <v>4.1666666666666664E-2</v>
      </c>
      <c r="C31" s="27">
        <v>14266.98</v>
      </c>
      <c r="D31" s="27">
        <v>14125.02</v>
      </c>
      <c r="E31" s="28">
        <v>44159</v>
      </c>
      <c r="F31" s="27">
        <f t="shared" si="0"/>
        <v>14196</v>
      </c>
    </row>
    <row r="32" spans="2:6" x14ac:dyDescent="0.2">
      <c r="B32" s="26">
        <v>4.1666666666666664E-2</v>
      </c>
      <c r="C32" s="27">
        <v>14234.82</v>
      </c>
      <c r="D32" s="27">
        <v>14093.18</v>
      </c>
      <c r="E32" s="28">
        <v>44158</v>
      </c>
      <c r="F32" s="27">
        <f t="shared" si="0"/>
        <v>14164</v>
      </c>
    </row>
    <row r="33" spans="2:6" x14ac:dyDescent="0.2">
      <c r="B33" s="26">
        <v>4.1666666666666664E-2</v>
      </c>
      <c r="C33" s="27">
        <v>14299.14</v>
      </c>
      <c r="D33" s="27">
        <v>14156.86</v>
      </c>
      <c r="E33" s="28">
        <v>44155</v>
      </c>
      <c r="F33" s="27">
        <f t="shared" si="0"/>
        <v>14228</v>
      </c>
    </row>
    <row r="34" spans="2:6" x14ac:dyDescent="0.2">
      <c r="B34" s="26">
        <v>4.1666666666666664E-2</v>
      </c>
      <c r="C34" s="27">
        <v>14237.84</v>
      </c>
      <c r="D34" s="27">
        <v>14096.17</v>
      </c>
      <c r="E34" s="28">
        <v>44154</v>
      </c>
      <c r="F34" s="27">
        <f t="shared" si="0"/>
        <v>14167.005000000001</v>
      </c>
    </row>
    <row r="35" spans="2:6" x14ac:dyDescent="0.2">
      <c r="B35" s="26">
        <v>4.1666666666666664E-2</v>
      </c>
      <c r="C35" s="27">
        <v>14188.59</v>
      </c>
      <c r="D35" s="27">
        <v>14047.41</v>
      </c>
      <c r="E35" s="28">
        <v>44153</v>
      </c>
      <c r="F35" s="27">
        <f t="shared" si="0"/>
        <v>14118</v>
      </c>
    </row>
    <row r="36" spans="2:6" x14ac:dyDescent="0.2">
      <c r="B36" s="26">
        <v>4.1666666666666664E-2</v>
      </c>
      <c r="C36" s="27">
        <v>14143.37</v>
      </c>
      <c r="D36" s="27">
        <v>14002.64</v>
      </c>
      <c r="E36" s="28">
        <v>44152</v>
      </c>
      <c r="F36" s="27">
        <f t="shared" si="0"/>
        <v>14073.005000000001</v>
      </c>
    </row>
    <row r="37" spans="2:6" x14ac:dyDescent="0.2">
      <c r="B37" s="26">
        <v>4.1666666666666664E-2</v>
      </c>
      <c r="C37" s="27">
        <v>14209.7</v>
      </c>
      <c r="D37" s="27">
        <v>14068.31</v>
      </c>
      <c r="E37" s="28">
        <v>44151</v>
      </c>
      <c r="F37" s="27">
        <f t="shared" si="0"/>
        <v>14139.005000000001</v>
      </c>
    </row>
    <row r="38" spans="2:6" x14ac:dyDescent="0.2">
      <c r="B38" s="26">
        <v>4.1666666666666664E-2</v>
      </c>
      <c r="C38" s="27">
        <v>14293.11</v>
      </c>
      <c r="D38" s="27">
        <v>14150.89</v>
      </c>
      <c r="E38" s="28">
        <v>44148</v>
      </c>
      <c r="F38" s="27">
        <f t="shared" si="0"/>
        <v>14222</v>
      </c>
    </row>
    <row r="39" spans="2:6" x14ac:dyDescent="0.2">
      <c r="B39" s="26">
        <v>4.1666666666666664E-2</v>
      </c>
      <c r="C39" s="27">
        <v>14257.94</v>
      </c>
      <c r="D39" s="27">
        <v>14116.07</v>
      </c>
      <c r="E39" s="28">
        <v>44147</v>
      </c>
      <c r="F39" s="27">
        <f t="shared" si="0"/>
        <v>14187.005000000001</v>
      </c>
    </row>
    <row r="40" spans="2:6" x14ac:dyDescent="0.2">
      <c r="B40" s="26">
        <v>4.1666666666666664E-2</v>
      </c>
      <c r="C40" s="27">
        <v>14146.38</v>
      </c>
      <c r="D40" s="27">
        <v>14005.62</v>
      </c>
      <c r="E40" s="28">
        <v>44146</v>
      </c>
      <c r="F40" s="27">
        <f t="shared" si="0"/>
        <v>14076</v>
      </c>
    </row>
    <row r="41" spans="2:6" x14ac:dyDescent="0.2">
      <c r="B41" s="26">
        <v>4.1666666666666664E-2</v>
      </c>
      <c r="C41" s="27">
        <v>14085.08</v>
      </c>
      <c r="D41" s="27">
        <v>13944.93</v>
      </c>
      <c r="E41" s="28">
        <v>44145</v>
      </c>
      <c r="F41" s="27">
        <f t="shared" si="0"/>
        <v>14015.005000000001</v>
      </c>
    </row>
    <row r="42" spans="2:6" x14ac:dyDescent="0.2">
      <c r="B42" s="26">
        <v>4.1666666666666664E-2</v>
      </c>
      <c r="C42" s="27">
        <v>14242.86</v>
      </c>
      <c r="D42" s="27">
        <v>14101.14</v>
      </c>
      <c r="E42" s="28">
        <v>44144</v>
      </c>
      <c r="F42" s="27">
        <f t="shared" si="0"/>
        <v>14172</v>
      </c>
    </row>
    <row r="43" spans="2:6" x14ac:dyDescent="0.2">
      <c r="B43" s="26">
        <v>4.1666666666666664E-2</v>
      </c>
      <c r="C43" s="27">
        <v>14392.61</v>
      </c>
      <c r="D43" s="27">
        <v>14249.4</v>
      </c>
      <c r="E43" s="28">
        <v>44141</v>
      </c>
      <c r="F43" s="27">
        <f t="shared" si="0"/>
        <v>14321.005000000001</v>
      </c>
    </row>
    <row r="44" spans="2:6" x14ac:dyDescent="0.2">
      <c r="B44" s="26">
        <v>4.1666666666666664E-2</v>
      </c>
      <c r="C44" s="27">
        <v>14511.2</v>
      </c>
      <c r="D44" s="27">
        <v>14366.81</v>
      </c>
      <c r="E44" s="28">
        <v>44140</v>
      </c>
      <c r="F44" s="27">
        <f t="shared" si="0"/>
        <v>14439.005000000001</v>
      </c>
    </row>
    <row r="45" spans="2:6" x14ac:dyDescent="0.2">
      <c r="B45" s="26">
        <v>4.1666666666666664E-2</v>
      </c>
      <c r="C45" s="27">
        <v>14629.79</v>
      </c>
      <c r="D45" s="27">
        <v>14484.22</v>
      </c>
      <c r="E45" s="28">
        <v>44139</v>
      </c>
      <c r="F45" s="27">
        <f t="shared" si="0"/>
        <v>14557.005000000001</v>
      </c>
    </row>
    <row r="46" spans="2:6" x14ac:dyDescent="0.2">
      <c r="B46" s="26">
        <v>4.1666666666666664E-2</v>
      </c>
      <c r="C46" s="27">
        <v>14682.05</v>
      </c>
      <c r="D46" s="27">
        <v>14535.96</v>
      </c>
      <c r="E46" s="28">
        <v>44138</v>
      </c>
      <c r="F46" s="27">
        <f t="shared" si="0"/>
        <v>14609.004999999999</v>
      </c>
    </row>
    <row r="47" spans="2:6" x14ac:dyDescent="0.2">
      <c r="B47" s="26">
        <v>4.1666666666666664E-2</v>
      </c>
      <c r="C47" s="27">
        <v>14791.59</v>
      </c>
      <c r="D47" s="27">
        <v>14644.41</v>
      </c>
      <c r="E47" s="28">
        <v>44137</v>
      </c>
      <c r="F47" s="27">
        <f t="shared" si="0"/>
        <v>14718</v>
      </c>
    </row>
    <row r="48" spans="2:6" x14ac:dyDescent="0.2">
      <c r="B48" s="26">
        <v>4.1666666666666664E-2</v>
      </c>
      <c r="C48" s="27">
        <v>14763.45</v>
      </c>
      <c r="D48" s="27">
        <v>14616.55</v>
      </c>
      <c r="E48" t="s">
        <v>366</v>
      </c>
      <c r="F48" s="27">
        <f t="shared" si="0"/>
        <v>14690</v>
      </c>
    </row>
    <row r="49" spans="2:6" x14ac:dyDescent="0.2">
      <c r="B49" s="26">
        <v>4.1666666666666664E-2</v>
      </c>
      <c r="C49" s="27">
        <v>14763.45</v>
      </c>
      <c r="D49" s="27">
        <v>14616.55</v>
      </c>
      <c r="E49" t="s">
        <v>367</v>
      </c>
      <c r="F49" s="27">
        <f t="shared" si="0"/>
        <v>14690</v>
      </c>
    </row>
    <row r="50" spans="2:6" x14ac:dyDescent="0.2">
      <c r="B50" s="26">
        <v>4.1666666666666664E-2</v>
      </c>
      <c r="C50" s="27">
        <v>14763.45</v>
      </c>
      <c r="D50" s="27">
        <v>14616.55</v>
      </c>
      <c r="E50" t="s">
        <v>368</v>
      </c>
      <c r="F50" s="27">
        <f t="shared" si="0"/>
        <v>14690</v>
      </c>
    </row>
    <row r="51" spans="2:6" x14ac:dyDescent="0.2">
      <c r="B51" s="26">
        <v>4.1666666666666664E-2</v>
      </c>
      <c r="C51" s="27">
        <v>14763.45</v>
      </c>
      <c r="D51" s="27">
        <v>14616.55</v>
      </c>
      <c r="E51" t="s">
        <v>369</v>
      </c>
      <c r="F51" s="27">
        <f t="shared" si="0"/>
        <v>14690</v>
      </c>
    </row>
    <row r="52" spans="2:6" x14ac:dyDescent="0.2">
      <c r="B52" s="26">
        <v>4.1666666666666664E-2</v>
      </c>
      <c r="C52" s="27">
        <v>14770.49</v>
      </c>
      <c r="D52" s="27">
        <v>14623.52</v>
      </c>
      <c r="E52" t="s">
        <v>370</v>
      </c>
      <c r="F52" s="27">
        <f t="shared" si="0"/>
        <v>14697.005000000001</v>
      </c>
    </row>
    <row r="53" spans="2:6" x14ac:dyDescent="0.2">
      <c r="B53" s="26">
        <v>4.1666666666666664E-2</v>
      </c>
      <c r="C53" s="27">
        <v>14811.69</v>
      </c>
      <c r="D53" s="27">
        <v>14664.31</v>
      </c>
      <c r="E53" t="s">
        <v>371</v>
      </c>
      <c r="F53" s="27">
        <f t="shared" si="0"/>
        <v>14738</v>
      </c>
    </row>
    <row r="54" spans="2:6" x14ac:dyDescent="0.2">
      <c r="B54" s="26">
        <v>4.1666666666666664E-2</v>
      </c>
      <c r="C54" s="27">
        <v>14770.49</v>
      </c>
      <c r="D54" s="27">
        <v>14623.52</v>
      </c>
      <c r="E54" t="s">
        <v>372</v>
      </c>
      <c r="F54" s="27">
        <f t="shared" si="0"/>
        <v>14697.005000000001</v>
      </c>
    </row>
    <row r="55" spans="2:6" x14ac:dyDescent="0.2">
      <c r="B55" s="26">
        <v>4.1666666666666664E-2</v>
      </c>
      <c r="C55" s="27">
        <v>14731.29</v>
      </c>
      <c r="D55" s="27">
        <v>14584.71</v>
      </c>
      <c r="E55" t="s">
        <v>373</v>
      </c>
      <c r="F55" s="27">
        <f t="shared" si="0"/>
        <v>14658</v>
      </c>
    </row>
    <row r="56" spans="2:6" x14ac:dyDescent="0.2">
      <c r="B56" s="26">
        <v>4.1666666666666664E-2</v>
      </c>
      <c r="C56" s="27">
        <v>14802.65</v>
      </c>
      <c r="D56" s="27">
        <v>14655.36</v>
      </c>
      <c r="E56" t="s">
        <v>374</v>
      </c>
      <c r="F56" s="27">
        <f t="shared" si="0"/>
        <v>14729.005000000001</v>
      </c>
    </row>
    <row r="57" spans="2:6" x14ac:dyDescent="0.2">
      <c r="B57" s="26">
        <v>4.1666666666666664E-2</v>
      </c>
      <c r="C57" s="27">
        <v>14814.71</v>
      </c>
      <c r="D57" s="27">
        <v>14667.3</v>
      </c>
      <c r="E57" t="s">
        <v>375</v>
      </c>
      <c r="F57" s="27">
        <f t="shared" si="0"/>
        <v>14741.004999999999</v>
      </c>
    </row>
    <row r="58" spans="2:6" x14ac:dyDescent="0.2">
      <c r="B58" s="26">
        <v>4.1666666666666664E-2</v>
      </c>
      <c r="C58" s="27">
        <v>14839.83</v>
      </c>
      <c r="D58" s="27">
        <v>14692.17</v>
      </c>
      <c r="E58" t="s">
        <v>376</v>
      </c>
      <c r="F58" s="27">
        <f t="shared" si="0"/>
        <v>14766</v>
      </c>
    </row>
    <row r="59" spans="2:6" x14ac:dyDescent="0.2">
      <c r="B59" s="26">
        <v>4.1666666666666664E-2</v>
      </c>
      <c r="C59" s="27">
        <v>14833.8</v>
      </c>
      <c r="D59" s="27">
        <v>14686.2</v>
      </c>
      <c r="E59" t="s">
        <v>377</v>
      </c>
      <c r="F59" s="27">
        <f t="shared" si="0"/>
        <v>14760</v>
      </c>
    </row>
    <row r="60" spans="2:6" x14ac:dyDescent="0.2">
      <c r="B60" s="26">
        <v>4.1666666666666664E-2</v>
      </c>
      <c r="C60" s="27">
        <v>14853.9</v>
      </c>
      <c r="D60" s="27">
        <v>14706.1</v>
      </c>
      <c r="E60" t="s">
        <v>378</v>
      </c>
      <c r="F60" s="27">
        <f t="shared" si="0"/>
        <v>14780</v>
      </c>
    </row>
    <row r="61" spans="2:6" x14ac:dyDescent="0.2">
      <c r="B61" s="26">
        <v>4.1666666666666664E-2</v>
      </c>
      <c r="C61" s="27">
        <v>14866.97</v>
      </c>
      <c r="D61" s="27">
        <v>14719.04</v>
      </c>
      <c r="E61" t="s">
        <v>379</v>
      </c>
      <c r="F61" s="27">
        <f t="shared" si="0"/>
        <v>14793.005000000001</v>
      </c>
    </row>
    <row r="62" spans="2:6" x14ac:dyDescent="0.2">
      <c r="B62" s="26">
        <v>4.1666666666666664E-2</v>
      </c>
      <c r="C62" s="27">
        <v>14819.73</v>
      </c>
      <c r="D62" s="27">
        <v>14672.27</v>
      </c>
      <c r="E62" t="s">
        <v>380</v>
      </c>
      <c r="F62" s="27">
        <f t="shared" si="0"/>
        <v>14746</v>
      </c>
    </row>
    <row r="63" spans="2:6" x14ac:dyDescent="0.2">
      <c r="B63" s="26">
        <v>4.1666666666666664E-2</v>
      </c>
      <c r="C63" s="27">
        <v>14810.69</v>
      </c>
      <c r="D63" s="27">
        <v>14663.32</v>
      </c>
      <c r="E63" t="s">
        <v>381</v>
      </c>
      <c r="F63" s="27">
        <f t="shared" si="0"/>
        <v>14737.005000000001</v>
      </c>
    </row>
    <row r="64" spans="2:6" x14ac:dyDescent="0.2">
      <c r="B64" s="26">
        <v>4.1666666666666664E-2</v>
      </c>
      <c r="C64" s="27">
        <v>14823.75</v>
      </c>
      <c r="D64" s="27">
        <v>14676.25</v>
      </c>
      <c r="E64" t="s">
        <v>382</v>
      </c>
      <c r="F64" s="27">
        <f t="shared" si="0"/>
        <v>14750</v>
      </c>
    </row>
    <row r="65" spans="2:6" x14ac:dyDescent="0.2">
      <c r="B65" s="26">
        <v>4.1666666666666664E-2</v>
      </c>
      <c r="C65" s="27">
        <v>14857.92</v>
      </c>
      <c r="D65" s="27">
        <v>14710.08</v>
      </c>
      <c r="E65" t="s">
        <v>383</v>
      </c>
      <c r="F65" s="27">
        <f t="shared" si="0"/>
        <v>14784</v>
      </c>
    </row>
    <row r="66" spans="2:6" x14ac:dyDescent="0.2">
      <c r="B66" s="26">
        <v>4.1666666666666664E-2</v>
      </c>
      <c r="C66" s="27">
        <v>14785.56</v>
      </c>
      <c r="D66" s="27">
        <v>14638.44</v>
      </c>
      <c r="E66" t="s">
        <v>384</v>
      </c>
      <c r="F66" s="27">
        <f t="shared" si="0"/>
        <v>14712</v>
      </c>
    </row>
    <row r="67" spans="2:6" x14ac:dyDescent="0.2">
      <c r="B67" s="26">
        <v>4.1666666666666664E-2</v>
      </c>
      <c r="C67" s="27">
        <v>14941.34</v>
      </c>
      <c r="D67" s="27">
        <v>14792.67</v>
      </c>
      <c r="E67" t="s">
        <v>385</v>
      </c>
      <c r="F67" s="27">
        <f t="shared" si="0"/>
        <v>14867.005000000001</v>
      </c>
    </row>
    <row r="68" spans="2:6" x14ac:dyDescent="0.2">
      <c r="B68" s="26">
        <v>4.1666666666666664E-2</v>
      </c>
      <c r="C68" s="27">
        <v>14964.45</v>
      </c>
      <c r="D68" s="27">
        <v>14815.55</v>
      </c>
      <c r="E68" t="s">
        <v>386</v>
      </c>
      <c r="F68" s="27">
        <f t="shared" ref="F68:F131" si="1">AVERAGE(C68:D68)</f>
        <v>14890</v>
      </c>
    </row>
    <row r="69" spans="2:6" x14ac:dyDescent="0.2">
      <c r="B69" s="26">
        <v>4.1666666666666664E-2</v>
      </c>
      <c r="C69" s="27">
        <v>14950.38</v>
      </c>
      <c r="D69" s="27">
        <v>14801.62</v>
      </c>
      <c r="E69" t="s">
        <v>387</v>
      </c>
      <c r="F69" s="27">
        <f t="shared" si="1"/>
        <v>14876</v>
      </c>
    </row>
    <row r="70" spans="2:6" x14ac:dyDescent="0.2">
      <c r="B70" s="26">
        <v>4.1666666666666664E-2</v>
      </c>
      <c r="C70" s="27">
        <v>14992.59</v>
      </c>
      <c r="D70" s="27">
        <v>14843.41</v>
      </c>
      <c r="E70" s="28">
        <v>44104</v>
      </c>
      <c r="F70" s="27">
        <f t="shared" si="1"/>
        <v>14918</v>
      </c>
    </row>
    <row r="71" spans="2:6" x14ac:dyDescent="0.2">
      <c r="B71" s="26">
        <v>4.1666666666666664E-2</v>
      </c>
      <c r="C71" s="27">
        <v>14994.6</v>
      </c>
      <c r="D71" s="27">
        <v>14845.4</v>
      </c>
      <c r="E71" s="28">
        <v>44103</v>
      </c>
      <c r="F71" s="27">
        <f t="shared" si="1"/>
        <v>14920</v>
      </c>
    </row>
    <row r="72" spans="2:6" x14ac:dyDescent="0.2">
      <c r="B72" s="26">
        <v>4.1666666666666664E-2</v>
      </c>
      <c r="C72" s="27">
        <v>15033.8</v>
      </c>
      <c r="D72" s="27">
        <v>14884.21</v>
      </c>
      <c r="E72" s="28">
        <v>44102</v>
      </c>
      <c r="F72" s="27">
        <f t="shared" si="1"/>
        <v>14959.004999999999</v>
      </c>
    </row>
    <row r="73" spans="2:6" x14ac:dyDescent="0.2">
      <c r="B73" s="26">
        <v>4.1666666666666664E-2</v>
      </c>
      <c r="C73" s="27">
        <v>15025.76</v>
      </c>
      <c r="D73" s="27">
        <v>14876.25</v>
      </c>
      <c r="E73" s="28">
        <v>44099</v>
      </c>
      <c r="F73" s="27">
        <f t="shared" si="1"/>
        <v>14951.005000000001</v>
      </c>
    </row>
    <row r="74" spans="2:6" x14ac:dyDescent="0.2">
      <c r="B74" s="26">
        <v>4.1666666666666664E-2</v>
      </c>
      <c r="C74" s="27">
        <v>15023.75</v>
      </c>
      <c r="D74" s="27">
        <v>14874.26</v>
      </c>
      <c r="E74" s="28">
        <v>44098</v>
      </c>
      <c r="F74" s="27">
        <f t="shared" si="1"/>
        <v>14949.005000000001</v>
      </c>
    </row>
    <row r="75" spans="2:6" x14ac:dyDescent="0.2">
      <c r="B75" s="26">
        <v>4.1666666666666664E-2</v>
      </c>
      <c r="C75" s="27">
        <v>14909.18</v>
      </c>
      <c r="D75" s="27">
        <v>14760.83</v>
      </c>
      <c r="E75" s="28">
        <v>44097</v>
      </c>
      <c r="F75" s="27">
        <f t="shared" si="1"/>
        <v>14835.005000000001</v>
      </c>
    </row>
    <row r="76" spans="2:6" x14ac:dyDescent="0.2">
      <c r="B76" s="26">
        <v>4.1666666666666664E-2</v>
      </c>
      <c r="C76" s="27">
        <v>14855.91</v>
      </c>
      <c r="D76" s="27">
        <v>14708.09</v>
      </c>
      <c r="E76" s="28">
        <v>44096</v>
      </c>
      <c r="F76" s="27">
        <f t="shared" si="1"/>
        <v>14782</v>
      </c>
    </row>
    <row r="77" spans="2:6" x14ac:dyDescent="0.2">
      <c r="B77" s="26">
        <v>4.1666666666666664E-2</v>
      </c>
      <c r="C77" s="27">
        <v>14796.62</v>
      </c>
      <c r="D77" s="27">
        <v>14649.39</v>
      </c>
      <c r="E77" s="28">
        <v>44095</v>
      </c>
      <c r="F77" s="27">
        <f t="shared" si="1"/>
        <v>14723.005000000001</v>
      </c>
    </row>
    <row r="78" spans="2:6" x14ac:dyDescent="0.2">
      <c r="B78" s="26">
        <v>4.1666666666666664E-2</v>
      </c>
      <c r="C78" s="27">
        <v>14841.84</v>
      </c>
      <c r="D78" s="27">
        <v>14694.16</v>
      </c>
      <c r="E78" s="28">
        <v>44092</v>
      </c>
      <c r="F78" s="27">
        <f t="shared" si="1"/>
        <v>14768</v>
      </c>
    </row>
    <row r="79" spans="2:6" x14ac:dyDescent="0.2">
      <c r="B79" s="26">
        <v>4.1666666666666664E-2</v>
      </c>
      <c r="C79" s="27">
        <v>14952.39</v>
      </c>
      <c r="D79" s="27">
        <v>14803.61</v>
      </c>
      <c r="E79" s="28">
        <v>44091</v>
      </c>
      <c r="F79" s="27">
        <f t="shared" si="1"/>
        <v>14878</v>
      </c>
    </row>
    <row r="80" spans="2:6" x14ac:dyDescent="0.2">
      <c r="B80" s="26">
        <v>4.1666666666666664E-2</v>
      </c>
      <c r="C80" s="27">
        <v>14918.22</v>
      </c>
      <c r="D80" s="27">
        <v>14769.78</v>
      </c>
      <c r="E80" s="28">
        <v>44090</v>
      </c>
      <c r="F80" s="27">
        <f t="shared" si="1"/>
        <v>14844</v>
      </c>
    </row>
    <row r="81" spans="2:6" x14ac:dyDescent="0.2">
      <c r="B81" s="26">
        <v>4.1666666666666664E-2</v>
      </c>
      <c r="C81" s="27">
        <v>14944.35</v>
      </c>
      <c r="D81" s="27">
        <v>14795.65</v>
      </c>
      <c r="E81" s="28">
        <v>44089</v>
      </c>
      <c r="F81" s="27">
        <f t="shared" si="1"/>
        <v>14870</v>
      </c>
    </row>
    <row r="82" spans="2:6" x14ac:dyDescent="0.2">
      <c r="B82" s="26">
        <v>4.1666666666666664E-2</v>
      </c>
      <c r="C82" s="27">
        <v>15048.87</v>
      </c>
      <c r="D82" s="27">
        <v>14899.13</v>
      </c>
      <c r="E82" s="28">
        <v>44088</v>
      </c>
      <c r="F82" s="27">
        <f t="shared" si="1"/>
        <v>14974</v>
      </c>
    </row>
    <row r="83" spans="2:6" x14ac:dyDescent="0.2">
      <c r="B83" s="26">
        <v>4.1666666666666664E-2</v>
      </c>
      <c r="C83" s="27">
        <v>15053.9</v>
      </c>
      <c r="D83" s="27">
        <v>14904.11</v>
      </c>
      <c r="E83" s="28">
        <v>44085</v>
      </c>
      <c r="F83" s="27">
        <f t="shared" si="1"/>
        <v>14979.005000000001</v>
      </c>
    </row>
    <row r="84" spans="2:6" x14ac:dyDescent="0.2">
      <c r="B84" s="26">
        <v>4.1666666666666664E-2</v>
      </c>
      <c r="C84" s="27">
        <v>14945.36</v>
      </c>
      <c r="D84" s="27">
        <v>14796.65</v>
      </c>
      <c r="E84" s="28">
        <v>44084</v>
      </c>
      <c r="F84" s="27">
        <f t="shared" si="1"/>
        <v>14871.005000000001</v>
      </c>
    </row>
    <row r="85" spans="2:6" x14ac:dyDescent="0.2">
      <c r="B85" s="26">
        <v>4.1666666666666664E-2</v>
      </c>
      <c r="C85" s="27">
        <v>14927.27</v>
      </c>
      <c r="D85" s="27">
        <v>14778.74</v>
      </c>
      <c r="E85" s="28">
        <v>44083</v>
      </c>
      <c r="F85" s="27">
        <f t="shared" si="1"/>
        <v>14853.005000000001</v>
      </c>
    </row>
    <row r="86" spans="2:6" x14ac:dyDescent="0.2">
      <c r="B86" s="26">
        <v>4.1666666666666664E-2</v>
      </c>
      <c r="C86" s="27">
        <v>14871.99</v>
      </c>
      <c r="D86" s="27">
        <v>14724.01</v>
      </c>
      <c r="E86" s="28">
        <v>44082</v>
      </c>
      <c r="F86" s="27">
        <f t="shared" si="1"/>
        <v>14798</v>
      </c>
    </row>
    <row r="87" spans="2:6" x14ac:dyDescent="0.2">
      <c r="B87" s="26">
        <v>4.1666666666666664E-2</v>
      </c>
      <c r="C87" s="27">
        <v>14827.77</v>
      </c>
      <c r="D87" s="27">
        <v>14680.23</v>
      </c>
      <c r="E87" s="28">
        <v>44081</v>
      </c>
      <c r="F87" s="27">
        <f t="shared" si="1"/>
        <v>14754</v>
      </c>
    </row>
    <row r="88" spans="2:6" x14ac:dyDescent="0.2">
      <c r="B88" s="26">
        <v>4.1666666666666664E-2</v>
      </c>
      <c r="C88" s="27">
        <v>14865.96</v>
      </c>
      <c r="D88" s="27">
        <v>14718.04</v>
      </c>
      <c r="E88" s="28">
        <v>44078</v>
      </c>
      <c r="F88" s="27">
        <f t="shared" si="1"/>
        <v>14792</v>
      </c>
    </row>
    <row r="89" spans="2:6" x14ac:dyDescent="0.2">
      <c r="B89" s="26">
        <v>4.1666666666666664E-2</v>
      </c>
      <c r="C89" s="27">
        <v>14892.09</v>
      </c>
      <c r="D89" s="27">
        <v>14743.91</v>
      </c>
      <c r="E89" s="28">
        <v>44077</v>
      </c>
      <c r="F89" s="27">
        <f t="shared" si="1"/>
        <v>14818</v>
      </c>
    </row>
    <row r="90" spans="2:6" x14ac:dyDescent="0.2">
      <c r="B90" s="26">
        <v>4.1666666666666664E-2</v>
      </c>
      <c r="C90" s="27">
        <v>14878.02</v>
      </c>
      <c r="D90" s="27">
        <v>14729.98</v>
      </c>
      <c r="E90" s="28">
        <v>44076</v>
      </c>
      <c r="F90" s="27">
        <f t="shared" si="1"/>
        <v>14804</v>
      </c>
    </row>
    <row r="91" spans="2:6" x14ac:dyDescent="0.2">
      <c r="B91" s="26">
        <v>4.1666666666666664E-2</v>
      </c>
      <c r="C91" s="27">
        <v>14688.08</v>
      </c>
      <c r="D91" s="27">
        <v>14541.93</v>
      </c>
      <c r="E91" s="28">
        <v>44075</v>
      </c>
      <c r="F91" s="27">
        <f t="shared" si="1"/>
        <v>14615.005000000001</v>
      </c>
    </row>
    <row r="92" spans="2:6" x14ac:dyDescent="0.2">
      <c r="B92" s="26">
        <v>4.1666666666666664E-2</v>
      </c>
      <c r="C92" s="27">
        <v>14626.77</v>
      </c>
      <c r="D92" s="27">
        <v>14481.23</v>
      </c>
      <c r="E92" t="s">
        <v>388</v>
      </c>
      <c r="F92" s="27">
        <f t="shared" si="1"/>
        <v>14554</v>
      </c>
    </row>
    <row r="93" spans="2:6" x14ac:dyDescent="0.2">
      <c r="B93" s="26">
        <v>4.1666666666666664E-2</v>
      </c>
      <c r="C93" s="27">
        <v>14775.51</v>
      </c>
      <c r="D93" s="27">
        <v>14628.49</v>
      </c>
      <c r="E93" t="s">
        <v>389</v>
      </c>
      <c r="F93" s="27">
        <f t="shared" si="1"/>
        <v>14702</v>
      </c>
    </row>
    <row r="94" spans="2:6" x14ac:dyDescent="0.2">
      <c r="B94" s="26">
        <v>4.1666666666666664E-2</v>
      </c>
      <c r="C94" s="27">
        <v>14787.57</v>
      </c>
      <c r="D94" s="27">
        <v>14640.43</v>
      </c>
      <c r="E94" t="s">
        <v>390</v>
      </c>
      <c r="F94" s="27">
        <f t="shared" si="1"/>
        <v>14714</v>
      </c>
    </row>
    <row r="95" spans="2:6" x14ac:dyDescent="0.2">
      <c r="B95" s="26">
        <v>4.1666666666666664E-2</v>
      </c>
      <c r="C95" s="27">
        <v>14709.18</v>
      </c>
      <c r="D95" s="27">
        <v>14562.82</v>
      </c>
      <c r="E95" t="s">
        <v>391</v>
      </c>
      <c r="F95" s="27">
        <f t="shared" si="1"/>
        <v>14636</v>
      </c>
    </row>
    <row r="96" spans="2:6" x14ac:dyDescent="0.2">
      <c r="B96" s="26">
        <v>4.1666666666666664E-2</v>
      </c>
      <c r="C96" s="27">
        <v>14705.16</v>
      </c>
      <c r="D96" s="27">
        <v>14558.84</v>
      </c>
      <c r="E96" t="s">
        <v>392</v>
      </c>
      <c r="F96" s="27">
        <f t="shared" si="1"/>
        <v>14632</v>
      </c>
    </row>
    <row r="97" spans="2:6" x14ac:dyDescent="0.2">
      <c r="B97" s="26">
        <v>4.1666666666666664E-2</v>
      </c>
      <c r="C97" s="27">
        <v>14867.97</v>
      </c>
      <c r="D97" s="27">
        <v>14720.03</v>
      </c>
      <c r="E97" t="s">
        <v>393</v>
      </c>
      <c r="F97" s="27">
        <f t="shared" si="1"/>
        <v>14794</v>
      </c>
    </row>
    <row r="98" spans="2:6" x14ac:dyDescent="0.2">
      <c r="B98" s="26">
        <v>4.1666666666666664E-2</v>
      </c>
      <c r="C98" s="27">
        <v>14859.93</v>
      </c>
      <c r="D98" s="27">
        <v>14712.07</v>
      </c>
      <c r="E98" t="s">
        <v>394</v>
      </c>
      <c r="F98" s="27">
        <f t="shared" si="1"/>
        <v>14786</v>
      </c>
    </row>
    <row r="99" spans="2:6" x14ac:dyDescent="0.2">
      <c r="B99" s="26">
        <v>4.1666666666666664E-2</v>
      </c>
      <c r="C99" s="27">
        <v>14981.54</v>
      </c>
      <c r="D99" s="27">
        <v>14832.47</v>
      </c>
      <c r="E99" t="s">
        <v>395</v>
      </c>
      <c r="F99" s="27">
        <f t="shared" si="1"/>
        <v>14907.005000000001</v>
      </c>
    </row>
    <row r="100" spans="2:6" x14ac:dyDescent="0.2">
      <c r="B100" s="26">
        <v>4.1666666666666664E-2</v>
      </c>
      <c r="C100" s="27">
        <v>14991.59</v>
      </c>
      <c r="D100" s="27">
        <v>14842.42</v>
      </c>
      <c r="E100" t="s">
        <v>396</v>
      </c>
      <c r="F100" s="27">
        <f t="shared" si="1"/>
        <v>14917.005000000001</v>
      </c>
    </row>
    <row r="101" spans="2:6" x14ac:dyDescent="0.2">
      <c r="B101" s="26">
        <v>4.1666666666666664E-2</v>
      </c>
      <c r="C101" s="27">
        <v>14951.39</v>
      </c>
      <c r="D101" s="27">
        <v>14802.62</v>
      </c>
      <c r="E101" t="s">
        <v>397</v>
      </c>
      <c r="F101" s="27">
        <f t="shared" si="1"/>
        <v>14877.005000000001</v>
      </c>
    </row>
    <row r="102" spans="2:6" x14ac:dyDescent="0.2">
      <c r="B102" s="26">
        <v>4.1666666666666664E-2</v>
      </c>
      <c r="C102" s="27">
        <v>14850.89</v>
      </c>
      <c r="D102" s="27">
        <v>14703.12</v>
      </c>
      <c r="E102" t="s">
        <v>398</v>
      </c>
      <c r="F102" s="27">
        <f t="shared" si="1"/>
        <v>14777.005000000001</v>
      </c>
    </row>
    <row r="103" spans="2:6" x14ac:dyDescent="0.2">
      <c r="B103" s="26">
        <v>4.1666666666666664E-2</v>
      </c>
      <c r="C103" s="27">
        <v>14801.64</v>
      </c>
      <c r="D103" s="27">
        <v>14654.36</v>
      </c>
      <c r="E103" t="s">
        <v>399</v>
      </c>
      <c r="F103" s="27">
        <f t="shared" si="1"/>
        <v>14728</v>
      </c>
    </row>
    <row r="104" spans="2:6" x14ac:dyDescent="0.2">
      <c r="B104" s="26">
        <v>4.1666666666666664E-2</v>
      </c>
      <c r="C104" s="27">
        <v>14823.75</v>
      </c>
      <c r="D104" s="27">
        <v>14676.25</v>
      </c>
      <c r="E104" t="s">
        <v>400</v>
      </c>
      <c r="F104" s="27">
        <f t="shared" si="1"/>
        <v>14750</v>
      </c>
    </row>
    <row r="105" spans="2:6" x14ac:dyDescent="0.2">
      <c r="B105" s="26">
        <v>4.1666666666666664E-2</v>
      </c>
      <c r="C105" s="27">
        <v>14720.24</v>
      </c>
      <c r="D105" s="27">
        <v>14573.77</v>
      </c>
      <c r="E105" t="s">
        <v>401</v>
      </c>
      <c r="F105" s="27">
        <f t="shared" si="1"/>
        <v>14647.005000000001</v>
      </c>
    </row>
    <row r="106" spans="2:6" x14ac:dyDescent="0.2">
      <c r="B106" s="26">
        <v>4.1666666666666664E-2</v>
      </c>
      <c r="C106" s="27">
        <v>14659.94</v>
      </c>
      <c r="D106" s="27">
        <v>14514.07</v>
      </c>
      <c r="E106" t="s">
        <v>402</v>
      </c>
      <c r="F106" s="27">
        <f t="shared" si="1"/>
        <v>14587.005000000001</v>
      </c>
    </row>
    <row r="107" spans="2:6" x14ac:dyDescent="0.2">
      <c r="B107" s="26">
        <v>4.1666666666666664E-2</v>
      </c>
      <c r="C107" s="27">
        <v>14696.12</v>
      </c>
      <c r="D107" s="27">
        <v>14549.89</v>
      </c>
      <c r="E107" t="s">
        <v>403</v>
      </c>
      <c r="F107" s="27">
        <f t="shared" si="1"/>
        <v>14623.005000000001</v>
      </c>
    </row>
    <row r="108" spans="2:6" x14ac:dyDescent="0.2">
      <c r="B108" s="26">
        <v>4.1666666666666664E-2</v>
      </c>
      <c r="C108" s="27">
        <v>14770.49</v>
      </c>
      <c r="D108" s="27">
        <v>14623.52</v>
      </c>
      <c r="E108" t="s">
        <v>404</v>
      </c>
      <c r="F108" s="27">
        <f t="shared" si="1"/>
        <v>14697.005000000001</v>
      </c>
    </row>
    <row r="109" spans="2:6" x14ac:dyDescent="0.2">
      <c r="B109" s="26">
        <v>4.1666666666666664E-2</v>
      </c>
      <c r="C109" s="27">
        <v>14786.57</v>
      </c>
      <c r="D109" s="27">
        <v>14639.44</v>
      </c>
      <c r="E109" t="s">
        <v>405</v>
      </c>
      <c r="F109" s="27">
        <f t="shared" si="1"/>
        <v>14713.005000000001</v>
      </c>
    </row>
    <row r="110" spans="2:6" x14ac:dyDescent="0.2">
      <c r="B110" s="26">
        <v>4.1666666666666664E-2</v>
      </c>
      <c r="C110" s="27">
        <v>14726.27</v>
      </c>
      <c r="D110" s="27">
        <v>14579.74</v>
      </c>
      <c r="E110" t="s">
        <v>406</v>
      </c>
      <c r="F110" s="27">
        <f t="shared" si="1"/>
        <v>14653.005000000001</v>
      </c>
    </row>
    <row r="111" spans="2:6" x14ac:dyDescent="0.2">
      <c r="B111" s="26">
        <v>4.1666666666666664E-2</v>
      </c>
      <c r="C111" s="27">
        <v>14642.85</v>
      </c>
      <c r="D111" s="27">
        <v>14497.15</v>
      </c>
      <c r="E111" t="s">
        <v>407</v>
      </c>
      <c r="F111" s="27">
        <f t="shared" si="1"/>
        <v>14570</v>
      </c>
    </row>
    <row r="112" spans="2:6" x14ac:dyDescent="0.2">
      <c r="B112" s="26">
        <v>4.1666666666666664E-2</v>
      </c>
      <c r="C112" s="27">
        <v>14615.72</v>
      </c>
      <c r="D112" s="27">
        <v>14470.29</v>
      </c>
      <c r="E112" t="s">
        <v>408</v>
      </c>
      <c r="F112" s="27">
        <f t="shared" si="1"/>
        <v>14543.005000000001</v>
      </c>
    </row>
    <row r="113" spans="2:6" x14ac:dyDescent="0.2">
      <c r="B113" s="26">
        <v>4.1666666666666664E-2</v>
      </c>
      <c r="C113" s="27">
        <v>14678.03</v>
      </c>
      <c r="D113" s="27">
        <v>14531.98</v>
      </c>
      <c r="E113" t="s">
        <v>409</v>
      </c>
      <c r="F113" s="27">
        <f t="shared" si="1"/>
        <v>14605.005000000001</v>
      </c>
    </row>
    <row r="114" spans="2:6" x14ac:dyDescent="0.2">
      <c r="B114" s="26">
        <v>4.1666666666666664E-2</v>
      </c>
      <c r="C114" s="27">
        <v>14687.07</v>
      </c>
      <c r="D114" s="27">
        <v>14540.93</v>
      </c>
      <c r="E114" t="s">
        <v>410</v>
      </c>
      <c r="F114" s="27">
        <f t="shared" si="1"/>
        <v>14614</v>
      </c>
    </row>
    <row r="115" spans="2:6" x14ac:dyDescent="0.2">
      <c r="B115" s="26">
        <v>4.1666666666666664E-2</v>
      </c>
      <c r="C115" s="27">
        <v>14742.35</v>
      </c>
      <c r="D115" s="27">
        <v>14595.66</v>
      </c>
      <c r="E115" t="s">
        <v>411</v>
      </c>
      <c r="F115" s="27">
        <f t="shared" si="1"/>
        <v>14669.005000000001</v>
      </c>
    </row>
    <row r="116" spans="2:6" x14ac:dyDescent="0.2">
      <c r="B116" s="26">
        <v>4.1666666666666664E-2</v>
      </c>
      <c r="C116" s="27">
        <v>14728.28</v>
      </c>
      <c r="D116" s="27">
        <v>14581.73</v>
      </c>
      <c r="E116" t="s">
        <v>412</v>
      </c>
      <c r="F116" s="27">
        <f t="shared" si="1"/>
        <v>14655.005000000001</v>
      </c>
    </row>
    <row r="117" spans="2:6" x14ac:dyDescent="0.2">
      <c r="B117" s="26">
        <v>4.1666666666666664E-2</v>
      </c>
      <c r="C117" s="27">
        <v>14887.07</v>
      </c>
      <c r="D117" s="27">
        <v>14738.94</v>
      </c>
      <c r="E117" t="s">
        <v>413</v>
      </c>
      <c r="F117" s="27">
        <f t="shared" si="1"/>
        <v>14813.005000000001</v>
      </c>
    </row>
    <row r="118" spans="2:6" x14ac:dyDescent="0.2">
      <c r="B118" s="26">
        <v>4.1666666666666664E-2</v>
      </c>
      <c r="C118" s="27">
        <v>14906.16</v>
      </c>
      <c r="D118" s="27">
        <v>14757.84</v>
      </c>
      <c r="E118" t="s">
        <v>414</v>
      </c>
      <c r="F118" s="27">
        <f t="shared" si="1"/>
        <v>14832</v>
      </c>
    </row>
    <row r="119" spans="2:6" x14ac:dyDescent="0.2">
      <c r="B119" s="26">
        <v>4.1666666666666664E-2</v>
      </c>
      <c r="C119" s="27">
        <v>14853.9</v>
      </c>
      <c r="D119" s="27">
        <v>14706.1</v>
      </c>
      <c r="E119" t="s">
        <v>415</v>
      </c>
      <c r="F119" s="27">
        <f t="shared" si="1"/>
        <v>14780</v>
      </c>
    </row>
    <row r="120" spans="2:6" x14ac:dyDescent="0.2">
      <c r="B120" s="26">
        <v>4.1666666666666664E-2</v>
      </c>
      <c r="C120" s="27">
        <v>14705.16</v>
      </c>
      <c r="D120" s="27">
        <v>14558.84</v>
      </c>
      <c r="E120" t="s">
        <v>416</v>
      </c>
      <c r="F120" s="27">
        <f t="shared" si="1"/>
        <v>14632</v>
      </c>
    </row>
    <row r="121" spans="2:6" x14ac:dyDescent="0.2">
      <c r="B121" s="26">
        <v>4.1666666666666664E-2</v>
      </c>
      <c r="C121" s="27">
        <v>14689.08</v>
      </c>
      <c r="D121" s="27">
        <v>14542.92</v>
      </c>
      <c r="E121" t="s">
        <v>417</v>
      </c>
      <c r="F121" s="27">
        <f t="shared" si="1"/>
        <v>14616</v>
      </c>
    </row>
    <row r="122" spans="2:6" x14ac:dyDescent="0.2">
      <c r="B122" s="26">
        <v>4.1666666666666664E-2</v>
      </c>
      <c r="C122" s="27">
        <v>14584.56</v>
      </c>
      <c r="D122" s="27">
        <v>14439.44</v>
      </c>
      <c r="E122" t="s">
        <v>418</v>
      </c>
      <c r="F122" s="27">
        <f t="shared" si="1"/>
        <v>14512</v>
      </c>
    </row>
    <row r="123" spans="2:6" x14ac:dyDescent="0.2">
      <c r="B123" s="26">
        <v>4.1666666666666664E-2</v>
      </c>
      <c r="C123" s="27">
        <v>14558.43</v>
      </c>
      <c r="D123" s="27">
        <v>14413.57</v>
      </c>
      <c r="E123" t="s">
        <v>419</v>
      </c>
      <c r="F123" s="27">
        <f t="shared" si="1"/>
        <v>14486</v>
      </c>
    </row>
    <row r="124" spans="2:6" x14ac:dyDescent="0.2">
      <c r="B124" s="26">
        <v>4.1666666666666664E-2</v>
      </c>
      <c r="C124" s="27">
        <v>14573.51</v>
      </c>
      <c r="D124" s="27">
        <v>14428.5</v>
      </c>
      <c r="E124" t="s">
        <v>420</v>
      </c>
      <c r="F124" s="27">
        <f t="shared" si="1"/>
        <v>14501.005000000001</v>
      </c>
    </row>
    <row r="125" spans="2:6" x14ac:dyDescent="0.2">
      <c r="B125" s="26">
        <v>4.1666666666666664E-2</v>
      </c>
      <c r="C125" s="27">
        <v>14518.23</v>
      </c>
      <c r="D125" s="27">
        <v>14373.77</v>
      </c>
      <c r="E125" t="s">
        <v>421</v>
      </c>
      <c r="F125" s="27">
        <f t="shared" si="1"/>
        <v>14446</v>
      </c>
    </row>
    <row r="126" spans="2:6" x14ac:dyDescent="0.2">
      <c r="B126" s="26">
        <v>4.1666666666666664E-2</v>
      </c>
      <c r="C126" s="27">
        <v>14532.3</v>
      </c>
      <c r="D126" s="27">
        <v>14387.7</v>
      </c>
      <c r="E126" t="s">
        <v>422</v>
      </c>
      <c r="F126" s="27">
        <f t="shared" si="1"/>
        <v>14460</v>
      </c>
    </row>
    <row r="127" spans="2:6" x14ac:dyDescent="0.2">
      <c r="B127" s="26">
        <v>4.1666666666666664E-2</v>
      </c>
      <c r="C127" s="27">
        <v>14528.28</v>
      </c>
      <c r="D127" s="27">
        <v>14383.72</v>
      </c>
      <c r="E127" t="s">
        <v>423</v>
      </c>
      <c r="F127" s="27">
        <f t="shared" si="1"/>
        <v>14456</v>
      </c>
    </row>
    <row r="128" spans="2:6" x14ac:dyDescent="0.2">
      <c r="B128" s="26">
        <v>4.1666666666666664E-2</v>
      </c>
      <c r="C128" s="27">
        <v>14619.74</v>
      </c>
      <c r="D128" s="27">
        <v>14474.27</v>
      </c>
      <c r="E128" t="s">
        <v>424</v>
      </c>
      <c r="F128" s="27">
        <f t="shared" si="1"/>
        <v>14547.005000000001</v>
      </c>
    </row>
    <row r="129" spans="2:6" x14ac:dyDescent="0.2">
      <c r="B129" s="26">
        <v>4.1666666666666664E-2</v>
      </c>
      <c r="C129" s="27">
        <v>14638.83</v>
      </c>
      <c r="D129" s="27">
        <v>14493.17</v>
      </c>
      <c r="E129" t="s">
        <v>425</v>
      </c>
      <c r="F129" s="27">
        <f t="shared" si="1"/>
        <v>14566</v>
      </c>
    </row>
    <row r="130" spans="2:6" x14ac:dyDescent="0.2">
      <c r="B130" s="26">
        <v>4.1666666666666664E-2</v>
      </c>
      <c r="C130" s="27">
        <v>14588.58</v>
      </c>
      <c r="D130" s="27">
        <v>14443.42</v>
      </c>
      <c r="E130" t="s">
        <v>426</v>
      </c>
      <c r="F130" s="27">
        <f t="shared" si="1"/>
        <v>14516</v>
      </c>
    </row>
    <row r="131" spans="2:6" x14ac:dyDescent="0.2">
      <c r="B131" s="26">
        <v>4.1666666666666664E-2</v>
      </c>
      <c r="C131" s="27">
        <v>14412.71</v>
      </c>
      <c r="D131" s="27">
        <v>14269.3</v>
      </c>
      <c r="E131" t="s">
        <v>427</v>
      </c>
      <c r="F131" s="27">
        <f t="shared" si="1"/>
        <v>14341.004999999999</v>
      </c>
    </row>
    <row r="132" spans="2:6" x14ac:dyDescent="0.2">
      <c r="B132" s="26">
        <v>4.1666666666666664E-2</v>
      </c>
      <c r="C132" s="27">
        <v>14373.51</v>
      </c>
      <c r="D132" s="27">
        <v>14230.49</v>
      </c>
      <c r="E132" t="s">
        <v>428</v>
      </c>
      <c r="F132" s="27">
        <f t="shared" ref="F132:F195" si="2">AVERAGE(C132:D132)</f>
        <v>14302</v>
      </c>
    </row>
    <row r="133" spans="2:6" x14ac:dyDescent="0.2">
      <c r="B133" s="26">
        <v>4.1666666666666664E-2</v>
      </c>
      <c r="C133" s="27">
        <v>14440.85</v>
      </c>
      <c r="D133" s="27">
        <v>14297.16</v>
      </c>
      <c r="E133" t="s">
        <v>429</v>
      </c>
      <c r="F133" s="27">
        <f t="shared" si="2"/>
        <v>14369.005000000001</v>
      </c>
    </row>
    <row r="134" spans="2:6" x14ac:dyDescent="0.2">
      <c r="B134" s="26">
        <v>4.1666666666666664E-2</v>
      </c>
      <c r="C134" s="27">
        <v>14310.2</v>
      </c>
      <c r="D134" s="27">
        <v>14167.81</v>
      </c>
      <c r="E134" t="s">
        <v>430</v>
      </c>
      <c r="F134" s="27">
        <f t="shared" si="2"/>
        <v>14239.005000000001</v>
      </c>
    </row>
    <row r="135" spans="2:6" x14ac:dyDescent="0.2">
      <c r="B135" s="26">
        <v>4.1666666666666664E-2</v>
      </c>
      <c r="C135" s="27">
        <v>14302.16</v>
      </c>
      <c r="D135" s="27">
        <v>14159.85</v>
      </c>
      <c r="E135" t="s">
        <v>431</v>
      </c>
      <c r="F135" s="27">
        <f t="shared" si="2"/>
        <v>14231.005000000001</v>
      </c>
    </row>
    <row r="136" spans="2:6" x14ac:dyDescent="0.2">
      <c r="B136" s="26">
        <v>4.1666666666666664E-2</v>
      </c>
      <c r="C136" s="27">
        <v>14230.8</v>
      </c>
      <c r="D136" s="27">
        <v>14089.2</v>
      </c>
      <c r="E136" t="s">
        <v>432</v>
      </c>
      <c r="F136" s="27">
        <f t="shared" si="2"/>
        <v>14160</v>
      </c>
    </row>
    <row r="137" spans="2:6" x14ac:dyDescent="0.2">
      <c r="B137" s="26">
        <v>4.1666666666666664E-2</v>
      </c>
      <c r="C137" s="27">
        <v>14336.33</v>
      </c>
      <c r="D137" s="27">
        <v>14193.68</v>
      </c>
      <c r="E137" t="s">
        <v>433</v>
      </c>
      <c r="F137" s="27">
        <f t="shared" si="2"/>
        <v>14265.005000000001</v>
      </c>
    </row>
    <row r="138" spans="2:6" x14ac:dyDescent="0.2">
      <c r="B138" s="26">
        <v>4.1666666666666664E-2</v>
      </c>
      <c r="C138" s="27">
        <v>14280.05</v>
      </c>
      <c r="D138" s="27">
        <v>14137.96</v>
      </c>
      <c r="E138" t="s">
        <v>434</v>
      </c>
      <c r="F138" s="27">
        <f t="shared" si="2"/>
        <v>14209.004999999999</v>
      </c>
    </row>
    <row r="139" spans="2:6" x14ac:dyDescent="0.2">
      <c r="B139" s="26">
        <v>4.1666666666666664E-2</v>
      </c>
      <c r="C139" s="27">
        <v>14313.21</v>
      </c>
      <c r="D139" s="27">
        <v>14170.79</v>
      </c>
      <c r="E139" t="s">
        <v>435</v>
      </c>
      <c r="F139" s="27">
        <f t="shared" si="2"/>
        <v>14242</v>
      </c>
    </row>
    <row r="140" spans="2:6" x14ac:dyDescent="0.2">
      <c r="B140" s="26">
        <v>4.1666666666666664E-2</v>
      </c>
      <c r="C140" s="27">
        <v>14256.93</v>
      </c>
      <c r="D140" s="27">
        <v>14115.07</v>
      </c>
      <c r="E140" t="s">
        <v>436</v>
      </c>
      <c r="F140" s="27">
        <f t="shared" si="2"/>
        <v>14186</v>
      </c>
    </row>
    <row r="141" spans="2:6" x14ac:dyDescent="0.2">
      <c r="B141" s="26">
        <v>4.1666666666666664E-2</v>
      </c>
      <c r="C141" s="27">
        <v>14305.17</v>
      </c>
      <c r="D141" s="27">
        <v>14162.83</v>
      </c>
      <c r="E141" t="s">
        <v>437</v>
      </c>
      <c r="F141" s="27">
        <f t="shared" si="2"/>
        <v>14234</v>
      </c>
    </row>
    <row r="142" spans="2:6" x14ac:dyDescent="0.2">
      <c r="B142" s="26">
        <v>4.1666666666666664E-2</v>
      </c>
      <c r="C142" s="27">
        <v>14225.78</v>
      </c>
      <c r="D142" s="27">
        <v>14084.23</v>
      </c>
      <c r="E142" t="s">
        <v>438</v>
      </c>
      <c r="F142" s="27">
        <f t="shared" si="2"/>
        <v>14155.005000000001</v>
      </c>
    </row>
    <row r="143" spans="2:6" x14ac:dyDescent="0.2">
      <c r="B143" s="26">
        <v>4.1666666666666664E-2</v>
      </c>
      <c r="C143" s="27">
        <v>14299.14</v>
      </c>
      <c r="D143" s="27">
        <v>14156.86</v>
      </c>
      <c r="E143" t="s">
        <v>439</v>
      </c>
      <c r="F143" s="27">
        <f t="shared" si="2"/>
        <v>14228</v>
      </c>
    </row>
    <row r="144" spans="2:6" x14ac:dyDescent="0.2">
      <c r="B144" s="26">
        <v>4.1666666666666664E-2</v>
      </c>
      <c r="C144" s="27">
        <v>14328.29</v>
      </c>
      <c r="D144" s="27">
        <v>14185.72</v>
      </c>
      <c r="E144" t="s">
        <v>440</v>
      </c>
      <c r="F144" s="27">
        <f t="shared" si="2"/>
        <v>14257.005000000001</v>
      </c>
    </row>
    <row r="145" spans="2:6" x14ac:dyDescent="0.2">
      <c r="B145" s="26">
        <v>4.1666666666666664E-2</v>
      </c>
      <c r="C145" s="27">
        <v>14084.07</v>
      </c>
      <c r="D145" s="27">
        <v>13943.93</v>
      </c>
      <c r="E145" t="s">
        <v>441</v>
      </c>
      <c r="F145" s="27">
        <f t="shared" si="2"/>
        <v>14014</v>
      </c>
    </row>
    <row r="146" spans="2:6" x14ac:dyDescent="0.2">
      <c r="B146" s="26">
        <v>4.1666666666666664E-2</v>
      </c>
      <c r="C146" s="27">
        <v>14153.42</v>
      </c>
      <c r="D146" s="27">
        <v>14012.59</v>
      </c>
      <c r="E146" t="s">
        <v>442</v>
      </c>
      <c r="F146" s="27">
        <f t="shared" si="2"/>
        <v>14083.005000000001</v>
      </c>
    </row>
    <row r="147" spans="2:6" x14ac:dyDescent="0.2">
      <c r="B147" s="26">
        <v>4.1666666666666664E-2</v>
      </c>
      <c r="C147" s="27">
        <v>14042.87</v>
      </c>
      <c r="D147" s="27">
        <v>13903.14</v>
      </c>
      <c r="E147" t="s">
        <v>443</v>
      </c>
      <c r="F147" s="27">
        <f t="shared" si="2"/>
        <v>13973.005000000001</v>
      </c>
    </row>
    <row r="148" spans="2:6" x14ac:dyDescent="0.2">
      <c r="B148" s="26">
        <v>4.1666666666666664E-2</v>
      </c>
      <c r="C148" s="27">
        <v>14025.78</v>
      </c>
      <c r="D148" s="27">
        <v>13886.22</v>
      </c>
      <c r="E148" t="s">
        <v>444</v>
      </c>
      <c r="F148" s="27">
        <f t="shared" si="2"/>
        <v>13956</v>
      </c>
    </row>
    <row r="149" spans="2:6" x14ac:dyDescent="0.2">
      <c r="B149" s="26">
        <v>4.1666666666666664E-2</v>
      </c>
      <c r="C149" s="27">
        <v>14170.5</v>
      </c>
      <c r="D149" s="27">
        <v>14029.5</v>
      </c>
      <c r="E149" t="s">
        <v>445</v>
      </c>
      <c r="F149" s="27">
        <f t="shared" si="2"/>
        <v>14100</v>
      </c>
    </row>
    <row r="150" spans="2:6" x14ac:dyDescent="0.2">
      <c r="B150" s="26">
        <v>4.1666666666666664E-2</v>
      </c>
      <c r="C150" s="27">
        <v>14235.83</v>
      </c>
      <c r="D150" s="27">
        <v>14094.18</v>
      </c>
      <c r="E150" t="s">
        <v>446</v>
      </c>
      <c r="F150" s="27">
        <f t="shared" si="2"/>
        <v>14165.005000000001</v>
      </c>
    </row>
    <row r="151" spans="2:6" x14ac:dyDescent="0.2">
      <c r="B151" s="26">
        <v>4.1666666666666664E-2</v>
      </c>
      <c r="C151" s="27">
        <v>14316.23</v>
      </c>
      <c r="D151" s="27">
        <v>14173.78</v>
      </c>
      <c r="E151" t="s">
        <v>447</v>
      </c>
      <c r="F151" s="27">
        <f t="shared" si="2"/>
        <v>14245.005000000001</v>
      </c>
    </row>
    <row r="152" spans="2:6" x14ac:dyDescent="0.2">
      <c r="B152" s="26">
        <v>4.1666666666666664E-2</v>
      </c>
      <c r="C152" s="27">
        <v>14574.51</v>
      </c>
      <c r="D152" s="27">
        <v>14429.49</v>
      </c>
      <c r="E152" t="s">
        <v>448</v>
      </c>
      <c r="F152" s="27">
        <f t="shared" si="2"/>
        <v>14502</v>
      </c>
    </row>
    <row r="153" spans="2:6" x14ac:dyDescent="0.2">
      <c r="B153" s="26">
        <v>4.1666666666666664E-2</v>
      </c>
      <c r="C153" s="27">
        <v>14806.67</v>
      </c>
      <c r="D153" s="27">
        <v>14659.34</v>
      </c>
      <c r="E153" t="s">
        <v>449</v>
      </c>
      <c r="F153" s="27">
        <f t="shared" si="2"/>
        <v>14733.005000000001</v>
      </c>
    </row>
    <row r="154" spans="2:6" x14ac:dyDescent="0.2">
      <c r="B154" s="26">
        <v>4.1666666666666664E-2</v>
      </c>
      <c r="C154" s="27">
        <v>14842.85</v>
      </c>
      <c r="D154" s="27">
        <v>14695.16</v>
      </c>
      <c r="E154" t="s">
        <v>450</v>
      </c>
      <c r="F154" s="27">
        <f t="shared" si="2"/>
        <v>14769.005000000001</v>
      </c>
    </row>
    <row r="155" spans="2:6" x14ac:dyDescent="0.2">
      <c r="B155" s="26">
        <v>4.1666666666666664E-2</v>
      </c>
      <c r="C155" s="27">
        <v>14834.81</v>
      </c>
      <c r="D155" s="27">
        <v>14687.2</v>
      </c>
      <c r="E155" t="s">
        <v>451</v>
      </c>
      <c r="F155" s="27">
        <f t="shared" si="2"/>
        <v>14761.005000000001</v>
      </c>
    </row>
    <row r="156" spans="2:6" x14ac:dyDescent="0.2">
      <c r="B156" s="26">
        <v>4.1666666666666664E-2</v>
      </c>
      <c r="C156" s="27">
        <v>14847.87</v>
      </c>
      <c r="D156" s="27">
        <v>14700.13</v>
      </c>
      <c r="E156" t="s">
        <v>452</v>
      </c>
      <c r="F156" s="27">
        <f t="shared" si="2"/>
        <v>14774</v>
      </c>
    </row>
    <row r="157" spans="2:6" x14ac:dyDescent="0.2">
      <c r="B157" s="26">
        <v>4.1666666666666664E-2</v>
      </c>
      <c r="C157" s="27">
        <v>14858.93</v>
      </c>
      <c r="D157" s="27">
        <v>14711.08</v>
      </c>
      <c r="E157" t="s">
        <v>453</v>
      </c>
      <c r="F157" s="27">
        <f t="shared" si="2"/>
        <v>14785.005000000001</v>
      </c>
    </row>
    <row r="158" spans="2:6" x14ac:dyDescent="0.2">
      <c r="B158" s="26">
        <v>4.1666666666666664E-2</v>
      </c>
      <c r="C158" s="27">
        <v>14897.12</v>
      </c>
      <c r="D158" s="27">
        <v>14748.89</v>
      </c>
      <c r="E158" t="s">
        <v>454</v>
      </c>
      <c r="F158" s="27">
        <f t="shared" si="2"/>
        <v>14823.005000000001</v>
      </c>
    </row>
    <row r="159" spans="2:6" x14ac:dyDescent="0.2">
      <c r="B159" s="26">
        <v>4.1666666666666664E-2</v>
      </c>
      <c r="C159" s="27">
        <v>14959.43</v>
      </c>
      <c r="D159" s="27">
        <v>14810.58</v>
      </c>
      <c r="E159" t="s">
        <v>455</v>
      </c>
      <c r="F159" s="27">
        <f t="shared" si="2"/>
        <v>14885.005000000001</v>
      </c>
    </row>
    <row r="160" spans="2:6" x14ac:dyDescent="0.2">
      <c r="B160" s="26">
        <v>4.1666666666666664E-2</v>
      </c>
      <c r="C160" s="27">
        <v>14983.55</v>
      </c>
      <c r="D160" s="27">
        <v>14834.46</v>
      </c>
      <c r="E160" t="s">
        <v>456</v>
      </c>
      <c r="F160" s="27">
        <f t="shared" si="2"/>
        <v>14909.004999999999</v>
      </c>
    </row>
    <row r="161" spans="2:6" x14ac:dyDescent="0.2">
      <c r="B161" s="26">
        <v>4.1666666666666664E-2</v>
      </c>
      <c r="C161" s="27">
        <v>15020.73</v>
      </c>
      <c r="D161" s="27">
        <v>14871.27</v>
      </c>
      <c r="E161" t="s">
        <v>457</v>
      </c>
      <c r="F161" s="27">
        <f t="shared" si="2"/>
        <v>14946</v>
      </c>
    </row>
    <row r="162" spans="2:6" x14ac:dyDescent="0.2">
      <c r="B162" s="26">
        <v>4.1666666666666664E-2</v>
      </c>
      <c r="C162" s="27">
        <v>14961.44</v>
      </c>
      <c r="D162" s="27">
        <v>14812.57</v>
      </c>
      <c r="E162" t="s">
        <v>458</v>
      </c>
      <c r="F162" s="27">
        <f t="shared" si="2"/>
        <v>14887.005000000001</v>
      </c>
    </row>
    <row r="163" spans="2:6" x14ac:dyDescent="0.2">
      <c r="B163" s="26">
        <v>4.1666666666666664E-2</v>
      </c>
      <c r="C163" s="27">
        <v>15052.89</v>
      </c>
      <c r="D163" s="27">
        <v>14903.11</v>
      </c>
      <c r="E163" t="s">
        <v>459</v>
      </c>
      <c r="F163" s="27">
        <f t="shared" si="2"/>
        <v>14978</v>
      </c>
    </row>
    <row r="164" spans="2:6" x14ac:dyDescent="0.2">
      <c r="B164" s="26">
        <v>4.1666666666666664E-2</v>
      </c>
      <c r="C164" s="27">
        <v>15010.68</v>
      </c>
      <c r="D164" s="27">
        <v>14861.32</v>
      </c>
      <c r="E164" t="s">
        <v>460</v>
      </c>
      <c r="F164" s="27">
        <f t="shared" si="2"/>
        <v>14936</v>
      </c>
    </row>
    <row r="165" spans="2:6" x14ac:dyDescent="0.2">
      <c r="B165" s="26">
        <v>4.1666666666666664E-2</v>
      </c>
      <c r="C165" s="27">
        <v>15084.05</v>
      </c>
      <c r="D165" s="27">
        <v>14933.96</v>
      </c>
      <c r="E165" t="s">
        <v>461</v>
      </c>
      <c r="F165" s="27">
        <f t="shared" si="2"/>
        <v>15009.004999999999</v>
      </c>
    </row>
    <row r="166" spans="2:6" x14ac:dyDescent="0.2">
      <c r="B166" s="26">
        <v>4.1666666666666664E-2</v>
      </c>
      <c r="C166" s="27">
        <v>15202.64</v>
      </c>
      <c r="D166" s="27">
        <v>15051.37</v>
      </c>
      <c r="E166" t="s">
        <v>462</v>
      </c>
      <c r="F166" s="27">
        <f t="shared" si="2"/>
        <v>15127.005000000001</v>
      </c>
    </row>
    <row r="167" spans="2:6" x14ac:dyDescent="0.2">
      <c r="B167" s="26">
        <v>4.1666666666666664E-2</v>
      </c>
      <c r="C167" s="27">
        <v>15179.52</v>
      </c>
      <c r="D167" s="27">
        <v>15028.48</v>
      </c>
      <c r="E167" t="s">
        <v>463</v>
      </c>
      <c r="F167" s="27">
        <f t="shared" si="2"/>
        <v>15104</v>
      </c>
    </row>
    <row r="168" spans="2:6" x14ac:dyDescent="0.2">
      <c r="B168" s="26">
        <v>4.1666666666666664E-2</v>
      </c>
      <c r="C168" s="27">
        <v>15148.37</v>
      </c>
      <c r="D168" s="27">
        <v>14997.64</v>
      </c>
      <c r="E168" t="s">
        <v>464</v>
      </c>
      <c r="F168" s="27">
        <f t="shared" si="2"/>
        <v>15073.005000000001</v>
      </c>
    </row>
    <row r="169" spans="2:6" x14ac:dyDescent="0.2">
      <c r="B169" s="26">
        <v>4.1666666666666664E-2</v>
      </c>
      <c r="C169" s="27">
        <v>15232.79</v>
      </c>
      <c r="D169" s="27">
        <v>15081.22</v>
      </c>
      <c r="E169" s="28">
        <v>43951</v>
      </c>
      <c r="F169" s="27">
        <f t="shared" si="2"/>
        <v>15157.005000000001</v>
      </c>
    </row>
    <row r="170" spans="2:6" x14ac:dyDescent="0.2">
      <c r="B170" s="26">
        <v>4.1666666666666664E-2</v>
      </c>
      <c r="C170" s="27">
        <v>15492.08</v>
      </c>
      <c r="D170" s="27">
        <v>15337.93</v>
      </c>
      <c r="E170" s="28">
        <v>43950</v>
      </c>
      <c r="F170" s="27">
        <f t="shared" si="2"/>
        <v>15415.005000000001</v>
      </c>
    </row>
    <row r="171" spans="2:6" x14ac:dyDescent="0.2">
      <c r="B171" s="26">
        <v>4.1666666666666664E-2</v>
      </c>
      <c r="C171" s="27">
        <v>15565.44</v>
      </c>
      <c r="D171" s="27">
        <v>15410.56</v>
      </c>
      <c r="E171" s="28">
        <v>43949</v>
      </c>
      <c r="F171" s="27">
        <f t="shared" si="2"/>
        <v>15488</v>
      </c>
    </row>
    <row r="172" spans="2:6" x14ac:dyDescent="0.2">
      <c r="B172" s="26">
        <v>4.1666666666666664E-2</v>
      </c>
      <c r="C172" s="27">
        <v>15668.96</v>
      </c>
      <c r="D172" s="27">
        <v>15513.05</v>
      </c>
      <c r="E172" s="28">
        <v>43948</v>
      </c>
      <c r="F172" s="27">
        <f t="shared" si="2"/>
        <v>15591.004999999999</v>
      </c>
    </row>
    <row r="173" spans="2:6" x14ac:dyDescent="0.2">
      <c r="B173" s="26">
        <v>4.1666666666666664E-2</v>
      </c>
      <c r="C173" s="27">
        <v>15630.77</v>
      </c>
      <c r="D173" s="27">
        <v>15475.24</v>
      </c>
      <c r="E173" s="28">
        <v>43945</v>
      </c>
      <c r="F173" s="27">
        <f t="shared" si="2"/>
        <v>15553.005000000001</v>
      </c>
    </row>
    <row r="174" spans="2:6" x14ac:dyDescent="0.2">
      <c r="B174" s="26">
        <v>4.1666666666666664E-2</v>
      </c>
      <c r="C174" s="27">
        <v>15708.15</v>
      </c>
      <c r="D174" s="27">
        <v>15551.85</v>
      </c>
      <c r="E174" s="28">
        <v>43944</v>
      </c>
      <c r="F174" s="27">
        <f t="shared" si="2"/>
        <v>15630</v>
      </c>
    </row>
    <row r="175" spans="2:6" x14ac:dyDescent="0.2">
      <c r="B175" s="26">
        <v>4.1666666666666664E-2</v>
      </c>
      <c r="C175" s="27">
        <v>15644.84</v>
      </c>
      <c r="D175" s="27">
        <v>15489.17</v>
      </c>
      <c r="E175" s="28">
        <v>43943</v>
      </c>
      <c r="F175" s="27">
        <f t="shared" si="2"/>
        <v>15567.005000000001</v>
      </c>
    </row>
    <row r="176" spans="2:6" x14ac:dyDescent="0.2">
      <c r="B176" s="26">
        <v>4.1666666666666664E-2</v>
      </c>
      <c r="C176" s="27">
        <v>15721.22</v>
      </c>
      <c r="D176" s="27">
        <v>15564.79</v>
      </c>
      <c r="E176" s="28">
        <v>43942</v>
      </c>
      <c r="F176" s="27">
        <f t="shared" si="2"/>
        <v>15643.005000000001</v>
      </c>
    </row>
    <row r="177" spans="2:6" x14ac:dyDescent="0.2">
      <c r="B177" s="26">
        <v>4.1666666666666664E-2</v>
      </c>
      <c r="C177" s="27">
        <v>15620.72</v>
      </c>
      <c r="D177" s="27">
        <v>15465.29</v>
      </c>
      <c r="E177" s="28">
        <v>43941</v>
      </c>
      <c r="F177" s="27">
        <f t="shared" si="2"/>
        <v>15543.005000000001</v>
      </c>
    </row>
    <row r="178" spans="2:6" x14ac:dyDescent="0.2">
      <c r="B178" s="26">
        <v>4.1666666666666664E-2</v>
      </c>
      <c r="C178" s="27">
        <v>15580.52</v>
      </c>
      <c r="D178" s="27">
        <v>15425.49</v>
      </c>
      <c r="E178" s="28">
        <v>43938</v>
      </c>
      <c r="F178" s="27">
        <f t="shared" si="2"/>
        <v>15503.005000000001</v>
      </c>
    </row>
    <row r="179" spans="2:6" x14ac:dyDescent="0.2">
      <c r="B179" s="26">
        <v>4.1666666666666664E-2</v>
      </c>
      <c r="C179" s="27">
        <v>15865.94</v>
      </c>
      <c r="D179" s="27">
        <v>15708.07</v>
      </c>
      <c r="E179" s="28">
        <v>43937</v>
      </c>
      <c r="F179" s="27">
        <f t="shared" si="2"/>
        <v>15787.005000000001</v>
      </c>
    </row>
    <row r="180" spans="2:6" x14ac:dyDescent="0.2">
      <c r="B180" s="26">
        <v>4.1666666666666664E-2</v>
      </c>
      <c r="C180" s="27">
        <v>15785.54</v>
      </c>
      <c r="D180" s="27">
        <v>15628.47</v>
      </c>
      <c r="E180" s="28">
        <v>43936</v>
      </c>
      <c r="F180" s="27">
        <f t="shared" si="2"/>
        <v>15707.005000000001</v>
      </c>
    </row>
    <row r="181" spans="2:6" x14ac:dyDescent="0.2">
      <c r="B181" s="26">
        <v>4.1666666666666664E-2</v>
      </c>
      <c r="C181" s="27">
        <v>15800.61</v>
      </c>
      <c r="D181" s="27">
        <v>15643.39</v>
      </c>
      <c r="E181" s="28">
        <v>43935</v>
      </c>
      <c r="F181" s="27">
        <f t="shared" si="2"/>
        <v>15722</v>
      </c>
    </row>
    <row r="182" spans="2:6" x14ac:dyDescent="0.2">
      <c r="B182" s="26">
        <v>4.1666666666666664E-2</v>
      </c>
      <c r="C182" s="27">
        <v>15919.2</v>
      </c>
      <c r="D182" s="27">
        <v>15760.8</v>
      </c>
      <c r="E182" s="28">
        <v>43934</v>
      </c>
      <c r="F182" s="27">
        <f t="shared" si="2"/>
        <v>15840</v>
      </c>
    </row>
    <row r="183" spans="2:6" x14ac:dyDescent="0.2">
      <c r="B183" s="26">
        <v>4.1666666666666664E-2</v>
      </c>
      <c r="C183" s="27">
        <v>16322.21</v>
      </c>
      <c r="D183" s="27">
        <v>16159.8</v>
      </c>
      <c r="E183" s="28">
        <v>43930</v>
      </c>
      <c r="F183" s="27">
        <f t="shared" si="2"/>
        <v>16241.004999999999</v>
      </c>
    </row>
    <row r="184" spans="2:6" x14ac:dyDescent="0.2">
      <c r="B184" s="26">
        <v>4.1666666666666664E-2</v>
      </c>
      <c r="C184" s="27">
        <v>16326.23</v>
      </c>
      <c r="D184" s="27">
        <v>16163.78</v>
      </c>
      <c r="E184" s="28">
        <v>43929</v>
      </c>
      <c r="F184" s="27">
        <f t="shared" si="2"/>
        <v>16245.005000000001</v>
      </c>
    </row>
    <row r="185" spans="2:6" x14ac:dyDescent="0.2">
      <c r="B185" s="26">
        <v>4.1666666666666664E-2</v>
      </c>
      <c r="C185" s="27">
        <v>16492.05</v>
      </c>
      <c r="D185" s="27">
        <v>16327.95</v>
      </c>
      <c r="E185" s="28">
        <v>43928</v>
      </c>
      <c r="F185" s="27">
        <f t="shared" si="2"/>
        <v>16410</v>
      </c>
    </row>
    <row r="186" spans="2:6" x14ac:dyDescent="0.2">
      <c r="B186" s="26">
        <v>4.1666666666666664E-2</v>
      </c>
      <c r="C186" s="27">
        <v>16638.78</v>
      </c>
      <c r="D186" s="27">
        <v>16473.22</v>
      </c>
      <c r="E186" s="28">
        <v>43927</v>
      </c>
      <c r="F186" s="27">
        <f t="shared" si="2"/>
        <v>16556</v>
      </c>
    </row>
    <row r="187" spans="2:6" x14ac:dyDescent="0.2">
      <c r="B187" s="26">
        <v>4.1666666666666664E-2</v>
      </c>
      <c r="C187" s="27">
        <v>16546.32</v>
      </c>
      <c r="D187" s="27">
        <v>16381.68</v>
      </c>
      <c r="E187" s="28">
        <v>43924</v>
      </c>
      <c r="F187" s="27">
        <f t="shared" si="2"/>
        <v>16464</v>
      </c>
    </row>
    <row r="188" spans="2:6" x14ac:dyDescent="0.2">
      <c r="B188" s="26">
        <v>4.1666666666666664E-2</v>
      </c>
      <c r="C188" s="27">
        <v>16824.71</v>
      </c>
      <c r="D188" s="27">
        <v>16657.3</v>
      </c>
      <c r="E188" s="28">
        <v>43923</v>
      </c>
      <c r="F188" s="27">
        <f t="shared" si="2"/>
        <v>16741.004999999997</v>
      </c>
    </row>
    <row r="189" spans="2:6" x14ac:dyDescent="0.2">
      <c r="B189" s="26">
        <v>4.1666666666666664E-2</v>
      </c>
      <c r="C189" s="27">
        <v>16495.07</v>
      </c>
      <c r="D189" s="27">
        <v>16330.94</v>
      </c>
      <c r="E189" s="28">
        <v>43922</v>
      </c>
      <c r="F189" s="27">
        <f t="shared" si="2"/>
        <v>16413.005000000001</v>
      </c>
    </row>
    <row r="190" spans="2:6" x14ac:dyDescent="0.2">
      <c r="B190" s="26">
        <v>4.1666666666666664E-2</v>
      </c>
      <c r="C190" s="27">
        <v>16448.84</v>
      </c>
      <c r="D190" s="27">
        <v>16285.17</v>
      </c>
      <c r="E190" t="s">
        <v>465</v>
      </c>
      <c r="F190" s="27">
        <f t="shared" si="2"/>
        <v>16367.005000000001</v>
      </c>
    </row>
    <row r="191" spans="2:6" x14ac:dyDescent="0.2">
      <c r="B191" s="26">
        <v>4.1666666666666664E-2</v>
      </c>
      <c r="C191" s="27">
        <v>16417.68</v>
      </c>
      <c r="D191" s="27">
        <v>16254.32</v>
      </c>
      <c r="E191" t="s">
        <v>466</v>
      </c>
      <c r="F191" s="27">
        <f t="shared" si="2"/>
        <v>16336</v>
      </c>
    </row>
    <row r="192" spans="2:6" x14ac:dyDescent="0.2">
      <c r="B192" s="26">
        <v>4.1666666666666664E-2</v>
      </c>
      <c r="C192" s="27">
        <v>16311.15</v>
      </c>
      <c r="D192" s="27">
        <v>16148.85</v>
      </c>
      <c r="E192" t="s">
        <v>467</v>
      </c>
      <c r="F192" s="27">
        <f t="shared" si="2"/>
        <v>16230</v>
      </c>
    </row>
    <row r="193" spans="2:6" x14ac:dyDescent="0.2">
      <c r="B193" s="26">
        <v>4.1666666666666664E-2</v>
      </c>
      <c r="C193" s="27">
        <v>16409.64</v>
      </c>
      <c r="D193" s="27">
        <v>16246.36</v>
      </c>
      <c r="E193" t="s">
        <v>468</v>
      </c>
      <c r="F193" s="27">
        <f t="shared" si="2"/>
        <v>16328</v>
      </c>
    </row>
    <row r="194" spans="2:6" x14ac:dyDescent="0.2">
      <c r="B194" s="26">
        <v>4.1666666666666664E-2</v>
      </c>
      <c r="C194" s="27">
        <v>16568.43</v>
      </c>
      <c r="D194" s="27">
        <v>16403.57</v>
      </c>
      <c r="E194" t="s">
        <v>469</v>
      </c>
      <c r="F194" s="27">
        <f t="shared" si="2"/>
        <v>16486</v>
      </c>
    </row>
    <row r="195" spans="2:6" x14ac:dyDescent="0.2">
      <c r="B195" s="26">
        <v>4.1666666666666664E-2</v>
      </c>
      <c r="C195" s="27">
        <v>16691.04</v>
      </c>
      <c r="D195" s="27">
        <v>16524.96</v>
      </c>
      <c r="E195" t="s">
        <v>470</v>
      </c>
      <c r="F195" s="27">
        <f t="shared" si="2"/>
        <v>16608</v>
      </c>
    </row>
    <row r="196" spans="2:6" x14ac:dyDescent="0.2">
      <c r="B196" s="26">
        <v>4.1666666666666664E-2</v>
      </c>
      <c r="C196" s="27">
        <v>16354.37</v>
      </c>
      <c r="D196" s="27">
        <v>16191.64</v>
      </c>
      <c r="E196" t="s">
        <v>471</v>
      </c>
      <c r="F196" s="27">
        <f t="shared" ref="F196:F251" si="3">AVERAGE(C196:D196)</f>
        <v>16273.005000000001</v>
      </c>
    </row>
    <row r="197" spans="2:6" x14ac:dyDescent="0.2">
      <c r="B197" s="26">
        <v>4.1666666666666664E-2</v>
      </c>
      <c r="C197" s="27">
        <v>15790.56</v>
      </c>
      <c r="D197" s="27">
        <v>15633.44</v>
      </c>
      <c r="E197" t="s">
        <v>472</v>
      </c>
      <c r="F197" s="27">
        <f t="shared" si="3"/>
        <v>15712</v>
      </c>
    </row>
    <row r="198" spans="2:6" x14ac:dyDescent="0.2">
      <c r="B198" s="26">
        <v>4.1666666666666664E-2</v>
      </c>
      <c r="C198" s="27">
        <v>15299.12</v>
      </c>
      <c r="D198" s="27">
        <v>15146.89</v>
      </c>
      <c r="E198" t="s">
        <v>473</v>
      </c>
      <c r="F198" s="27">
        <f t="shared" si="3"/>
        <v>15223.005000000001</v>
      </c>
    </row>
    <row r="199" spans="2:6" x14ac:dyDescent="0.2">
      <c r="B199" s="26">
        <v>4.1666666666666664E-2</v>
      </c>
      <c r="C199" s="27">
        <v>15158.42</v>
      </c>
      <c r="D199" s="27">
        <v>15007.59</v>
      </c>
      <c r="E199" t="s">
        <v>474</v>
      </c>
      <c r="F199" s="27">
        <f t="shared" si="3"/>
        <v>15083.005000000001</v>
      </c>
    </row>
    <row r="200" spans="2:6" x14ac:dyDescent="0.2">
      <c r="B200" s="26">
        <v>4.1666666666666664E-2</v>
      </c>
      <c r="C200" s="27">
        <v>14892.09</v>
      </c>
      <c r="D200" s="27">
        <v>14743.91</v>
      </c>
      <c r="E200" t="s">
        <v>475</v>
      </c>
      <c r="F200" s="27">
        <f t="shared" si="3"/>
        <v>14818</v>
      </c>
    </row>
    <row r="201" spans="2:6" x14ac:dyDescent="0.2">
      <c r="B201" s="26">
        <v>4.1666666666666664E-2</v>
      </c>
      <c r="C201" s="27">
        <v>14889.08</v>
      </c>
      <c r="D201" s="27">
        <v>14740.93</v>
      </c>
      <c r="E201" t="s">
        <v>476</v>
      </c>
      <c r="F201" s="27">
        <f t="shared" si="3"/>
        <v>14815.005000000001</v>
      </c>
    </row>
    <row r="202" spans="2:6" x14ac:dyDescent="0.2">
      <c r="B202" s="26">
        <v>4.1666666666666664E-2</v>
      </c>
      <c r="C202" s="27">
        <v>14562.45</v>
      </c>
      <c r="D202" s="27">
        <v>14417.55</v>
      </c>
      <c r="E202" t="s">
        <v>477</v>
      </c>
      <c r="F202" s="27">
        <f t="shared" si="3"/>
        <v>14490</v>
      </c>
    </row>
    <row r="203" spans="2:6" x14ac:dyDescent="0.2">
      <c r="B203" s="26">
        <v>4.1666666666666664E-2</v>
      </c>
      <c r="C203" s="27">
        <v>14394.62</v>
      </c>
      <c r="D203" s="27">
        <v>14251.39</v>
      </c>
      <c r="E203" t="s">
        <v>478</v>
      </c>
      <c r="F203" s="27">
        <f t="shared" si="3"/>
        <v>14323.005000000001</v>
      </c>
    </row>
    <row r="204" spans="2:6" x14ac:dyDescent="0.2">
      <c r="B204" s="26">
        <v>4.1666666666666664E-2</v>
      </c>
      <c r="C204" s="27">
        <v>14483.06</v>
      </c>
      <c r="D204" s="27">
        <v>14338.95</v>
      </c>
      <c r="E204" t="s">
        <v>479</v>
      </c>
      <c r="F204" s="27">
        <f t="shared" si="3"/>
        <v>14411.005000000001</v>
      </c>
    </row>
    <row r="205" spans="2:6" x14ac:dyDescent="0.2">
      <c r="B205" s="26">
        <v>4.1666666666666664E-2</v>
      </c>
      <c r="C205" s="27">
        <v>14413.71</v>
      </c>
      <c r="D205" s="27">
        <v>14270.29</v>
      </c>
      <c r="E205" t="s">
        <v>480</v>
      </c>
      <c r="F205" s="27">
        <f t="shared" si="3"/>
        <v>14342</v>
      </c>
    </row>
    <row r="206" spans="2:6" x14ac:dyDescent="0.2">
      <c r="B206" s="26">
        <v>4.1666666666666664E-2</v>
      </c>
      <c r="C206" s="27">
        <v>14338.34</v>
      </c>
      <c r="D206" s="27">
        <v>14195.67</v>
      </c>
      <c r="E206" t="s">
        <v>481</v>
      </c>
      <c r="F206" s="27">
        <f t="shared" si="3"/>
        <v>14267.005000000001</v>
      </c>
    </row>
    <row r="207" spans="2:6" x14ac:dyDescent="0.2">
      <c r="B207" s="26">
        <v>4.1666666666666664E-2</v>
      </c>
      <c r="C207" s="27">
        <v>14238.84</v>
      </c>
      <c r="D207" s="27">
        <v>14097.16</v>
      </c>
      <c r="E207" t="s">
        <v>482</v>
      </c>
      <c r="F207" s="27">
        <f t="shared" si="3"/>
        <v>14168</v>
      </c>
    </row>
    <row r="208" spans="2:6" x14ac:dyDescent="0.2">
      <c r="B208" s="26">
        <v>4.1666666666666664E-2</v>
      </c>
      <c r="C208" s="27">
        <v>14241.86</v>
      </c>
      <c r="D208" s="27">
        <v>14100.15</v>
      </c>
      <c r="E208" t="s">
        <v>483</v>
      </c>
      <c r="F208" s="27">
        <f t="shared" si="3"/>
        <v>14171.005000000001</v>
      </c>
    </row>
    <row r="209" spans="2:6" x14ac:dyDescent="0.2">
      <c r="B209" s="26">
        <v>4.1666666666666664E-2</v>
      </c>
      <c r="C209" s="27">
        <v>14293.11</v>
      </c>
      <c r="D209" s="27">
        <v>14150.89</v>
      </c>
      <c r="E209" t="s">
        <v>484</v>
      </c>
      <c r="F209" s="27">
        <f t="shared" si="3"/>
        <v>14222</v>
      </c>
    </row>
    <row r="210" spans="2:6" x14ac:dyDescent="0.2">
      <c r="B210" s="26">
        <v>4.1666666666666664E-2</v>
      </c>
      <c r="C210" s="27">
        <v>14485.07</v>
      </c>
      <c r="D210" s="27">
        <v>14340.94</v>
      </c>
      <c r="E210" t="s">
        <v>485</v>
      </c>
      <c r="F210" s="27">
        <f t="shared" si="3"/>
        <v>14413.005000000001</v>
      </c>
    </row>
    <row r="211" spans="2:6" x14ac:dyDescent="0.2">
      <c r="B211" s="26">
        <v>4.1666666666666664E-2</v>
      </c>
      <c r="C211" s="27">
        <v>14305.17</v>
      </c>
      <c r="D211" s="27">
        <v>14162.83</v>
      </c>
      <c r="E211" t="s">
        <v>486</v>
      </c>
      <c r="F211" s="27">
        <f t="shared" si="3"/>
        <v>14234</v>
      </c>
    </row>
    <row r="212" spans="2:6" x14ac:dyDescent="0.2">
      <c r="B212" s="26">
        <v>4.1666666666666664E-2</v>
      </c>
      <c r="C212" s="27">
        <v>14088.09</v>
      </c>
      <c r="D212" s="27">
        <v>13947.91</v>
      </c>
      <c r="E212" t="s">
        <v>487</v>
      </c>
      <c r="F212" s="27">
        <f t="shared" si="3"/>
        <v>14018</v>
      </c>
    </row>
    <row r="213" spans="2:6" x14ac:dyDescent="0.2">
      <c r="B213" s="26">
        <v>4.1666666666666664E-2</v>
      </c>
      <c r="C213" s="27">
        <v>14035.83</v>
      </c>
      <c r="D213" s="27">
        <v>13896.17</v>
      </c>
      <c r="E213" t="s">
        <v>488</v>
      </c>
      <c r="F213" s="27">
        <f t="shared" si="3"/>
        <v>13966</v>
      </c>
    </row>
    <row r="214" spans="2:6" x14ac:dyDescent="0.2">
      <c r="B214" s="26">
        <v>4.1666666666666664E-2</v>
      </c>
      <c r="C214" s="27">
        <v>13962.47</v>
      </c>
      <c r="D214" s="27">
        <v>13823.54</v>
      </c>
      <c r="E214" t="s">
        <v>489</v>
      </c>
      <c r="F214" s="27">
        <f t="shared" si="3"/>
        <v>13893.005000000001</v>
      </c>
    </row>
    <row r="215" spans="2:6" x14ac:dyDescent="0.2">
      <c r="B215" s="26">
        <v>4.1666666666666664E-2</v>
      </c>
      <c r="C215" s="27">
        <v>13932.32</v>
      </c>
      <c r="D215" s="27">
        <v>13793.69</v>
      </c>
      <c r="E215" t="s">
        <v>490</v>
      </c>
      <c r="F215" s="27">
        <f t="shared" si="3"/>
        <v>13863.005000000001</v>
      </c>
    </row>
    <row r="216" spans="2:6" x14ac:dyDescent="0.2">
      <c r="B216" s="26">
        <v>4.1666666666666664E-2</v>
      </c>
      <c r="C216" s="27">
        <v>13845.89</v>
      </c>
      <c r="D216" s="27">
        <v>13708.12</v>
      </c>
      <c r="E216" t="s">
        <v>491</v>
      </c>
      <c r="F216" s="27">
        <f t="shared" si="3"/>
        <v>13777.005000000001</v>
      </c>
    </row>
    <row r="217" spans="2:6" x14ac:dyDescent="0.2">
      <c r="B217" s="26">
        <v>4.1666666666666664E-2</v>
      </c>
      <c r="C217" s="27">
        <v>13803.68</v>
      </c>
      <c r="D217" s="27">
        <v>13666.33</v>
      </c>
      <c r="E217" t="s">
        <v>492</v>
      </c>
      <c r="F217" s="27">
        <f t="shared" si="3"/>
        <v>13735.005000000001</v>
      </c>
    </row>
    <row r="218" spans="2:6" x14ac:dyDescent="0.2">
      <c r="B218" s="26">
        <v>4.1666666666666664E-2</v>
      </c>
      <c r="C218" s="27">
        <v>13785.59</v>
      </c>
      <c r="D218" s="27">
        <v>13648.42</v>
      </c>
      <c r="E218" t="s">
        <v>493</v>
      </c>
      <c r="F218" s="27">
        <f t="shared" si="3"/>
        <v>13717.005000000001</v>
      </c>
    </row>
    <row r="219" spans="2:6" x14ac:dyDescent="0.2">
      <c r="B219" s="26">
        <v>4.1666666666666664E-2</v>
      </c>
      <c r="C219" s="27">
        <v>13744.38</v>
      </c>
      <c r="D219" s="27">
        <v>13607.62</v>
      </c>
      <c r="E219" t="s">
        <v>494</v>
      </c>
      <c r="F219" s="27">
        <f t="shared" si="3"/>
        <v>13676</v>
      </c>
    </row>
    <row r="220" spans="2:6" x14ac:dyDescent="0.2">
      <c r="B220" s="26">
        <v>4.1666666666666664E-2</v>
      </c>
      <c r="C220" s="27">
        <v>13761.47</v>
      </c>
      <c r="D220" s="27">
        <v>13624.54</v>
      </c>
      <c r="E220" t="s">
        <v>495</v>
      </c>
      <c r="F220" s="27">
        <f t="shared" si="3"/>
        <v>13693.005000000001</v>
      </c>
    </row>
    <row r="221" spans="2:6" x14ac:dyDescent="0.2">
      <c r="B221" s="26">
        <v>4.1666666666666664E-2</v>
      </c>
      <c r="C221" s="27">
        <v>13775.54</v>
      </c>
      <c r="D221" s="27">
        <v>13638.47</v>
      </c>
      <c r="E221" t="s">
        <v>496</v>
      </c>
      <c r="F221" s="27">
        <f t="shared" si="3"/>
        <v>13707.005000000001</v>
      </c>
    </row>
    <row r="222" spans="2:6" x14ac:dyDescent="0.2">
      <c r="B222" s="26">
        <v>4.1666666666666664E-2</v>
      </c>
      <c r="C222" s="27">
        <v>13747.4</v>
      </c>
      <c r="D222" s="27">
        <v>13610.61</v>
      </c>
      <c r="E222" t="s">
        <v>497</v>
      </c>
      <c r="F222" s="27">
        <f t="shared" si="3"/>
        <v>13679.005000000001</v>
      </c>
    </row>
    <row r="223" spans="2:6" x14ac:dyDescent="0.2">
      <c r="B223" s="26">
        <v>4.1666666666666664E-2</v>
      </c>
      <c r="C223" s="27">
        <v>13727.3</v>
      </c>
      <c r="D223" s="27">
        <v>13590.71</v>
      </c>
      <c r="E223" t="s">
        <v>498</v>
      </c>
      <c r="F223" s="27">
        <f t="shared" si="3"/>
        <v>13659.004999999999</v>
      </c>
    </row>
    <row r="224" spans="2:6" x14ac:dyDescent="0.2">
      <c r="B224" s="26">
        <v>4.1666666666666664E-2</v>
      </c>
      <c r="C224" s="27">
        <v>13754.43</v>
      </c>
      <c r="D224" s="27">
        <v>13617.57</v>
      </c>
      <c r="E224" t="s">
        <v>499</v>
      </c>
      <c r="F224" s="27">
        <f t="shared" si="3"/>
        <v>13686</v>
      </c>
    </row>
    <row r="225" spans="2:6" x14ac:dyDescent="0.2">
      <c r="B225" s="26">
        <v>4.1666666666666664E-2</v>
      </c>
      <c r="C225" s="27">
        <v>13776.54</v>
      </c>
      <c r="D225" s="27">
        <v>13639.46</v>
      </c>
      <c r="E225" t="s">
        <v>500</v>
      </c>
      <c r="F225" s="27">
        <f t="shared" si="3"/>
        <v>13708</v>
      </c>
    </row>
    <row r="226" spans="2:6" x14ac:dyDescent="0.2">
      <c r="B226" s="26">
        <v>4.1666666666666664E-2</v>
      </c>
      <c r="C226" s="27">
        <v>13715.24</v>
      </c>
      <c r="D226" s="27">
        <v>13578.77</v>
      </c>
      <c r="E226" t="s">
        <v>501</v>
      </c>
      <c r="F226" s="27">
        <f t="shared" si="3"/>
        <v>13647.005000000001</v>
      </c>
    </row>
    <row r="227" spans="2:6" x14ac:dyDescent="0.2">
      <c r="B227" s="26">
        <v>4.1666666666666664E-2</v>
      </c>
      <c r="C227" s="27">
        <v>13730.31</v>
      </c>
      <c r="D227" s="27">
        <v>13593.69</v>
      </c>
      <c r="E227" t="s">
        <v>502</v>
      </c>
      <c r="F227" s="27">
        <f t="shared" si="3"/>
        <v>13662</v>
      </c>
    </row>
    <row r="228" spans="2:6" x14ac:dyDescent="0.2">
      <c r="B228" s="26">
        <v>4.1666666666666664E-2</v>
      </c>
      <c r="C228" s="27">
        <v>13785.59</v>
      </c>
      <c r="D228" s="27">
        <v>13648.42</v>
      </c>
      <c r="E228" t="s">
        <v>503</v>
      </c>
      <c r="F228" s="27">
        <f t="shared" si="3"/>
        <v>13717.005000000001</v>
      </c>
    </row>
    <row r="229" spans="2:6" x14ac:dyDescent="0.2">
      <c r="B229" s="26">
        <v>4.1666666666666664E-2</v>
      </c>
      <c r="C229" s="27">
        <v>13828.8</v>
      </c>
      <c r="D229" s="27">
        <v>13691.2</v>
      </c>
      <c r="E229" t="s">
        <v>504</v>
      </c>
      <c r="F229" s="27">
        <f t="shared" si="3"/>
        <v>13760</v>
      </c>
    </row>
    <row r="230" spans="2:6" x14ac:dyDescent="0.2">
      <c r="B230" s="26">
        <v>4.1666666666666664E-2</v>
      </c>
      <c r="C230" s="27">
        <v>13794.63</v>
      </c>
      <c r="D230" s="27">
        <v>13657.37</v>
      </c>
      <c r="E230" t="s">
        <v>505</v>
      </c>
      <c r="F230" s="27">
        <f t="shared" si="3"/>
        <v>13726</v>
      </c>
    </row>
    <row r="231" spans="2:6" x14ac:dyDescent="0.2">
      <c r="B231" s="26">
        <v>4.1666666666666664E-2</v>
      </c>
      <c r="C231" s="27">
        <v>13730.31</v>
      </c>
      <c r="D231" s="27">
        <v>13593.69</v>
      </c>
      <c r="E231" t="s">
        <v>506</v>
      </c>
      <c r="F231" s="27">
        <f t="shared" si="3"/>
        <v>13662</v>
      </c>
    </row>
    <row r="232" spans="2:6" x14ac:dyDescent="0.2">
      <c r="B232" s="26">
        <v>4.1666666666666664E-2</v>
      </c>
      <c r="C232" s="27">
        <v>13720.26</v>
      </c>
      <c r="D232" s="27">
        <v>13583.74</v>
      </c>
      <c r="E232" t="s">
        <v>507</v>
      </c>
      <c r="F232" s="27">
        <f t="shared" si="3"/>
        <v>13652</v>
      </c>
    </row>
    <row r="233" spans="2:6" x14ac:dyDescent="0.2">
      <c r="B233" s="26">
        <v>4.1666666666666664E-2</v>
      </c>
      <c r="C233" s="27">
        <v>13702.17</v>
      </c>
      <c r="D233" s="27">
        <v>13565.83</v>
      </c>
      <c r="E233" t="s">
        <v>508</v>
      </c>
      <c r="F233" s="27">
        <f t="shared" si="3"/>
        <v>13634</v>
      </c>
    </row>
    <row r="234" spans="2:6" x14ac:dyDescent="0.2">
      <c r="B234" s="26">
        <v>4.1666666666666664E-2</v>
      </c>
      <c r="C234" s="27">
        <v>13715.24</v>
      </c>
      <c r="D234" s="27">
        <v>13578.77</v>
      </c>
      <c r="E234" t="s">
        <v>509</v>
      </c>
      <c r="F234" s="27">
        <f t="shared" si="3"/>
        <v>13647.005000000001</v>
      </c>
    </row>
    <row r="235" spans="2:6" x14ac:dyDescent="0.2">
      <c r="B235" s="26">
        <v>4.1666666666666664E-2</v>
      </c>
      <c r="C235" s="27">
        <v>13680.06</v>
      </c>
      <c r="D235" s="27">
        <v>13543.94</v>
      </c>
      <c r="E235" t="s">
        <v>510</v>
      </c>
      <c r="F235" s="27">
        <f t="shared" si="3"/>
        <v>13612</v>
      </c>
    </row>
    <row r="236" spans="2:6" x14ac:dyDescent="0.2">
      <c r="B236" s="26">
        <v>4.1666666666666664E-2</v>
      </c>
      <c r="C236" s="27">
        <v>13700.16</v>
      </c>
      <c r="D236" s="27">
        <v>13563.84</v>
      </c>
      <c r="E236" t="s">
        <v>511</v>
      </c>
      <c r="F236" s="27">
        <f t="shared" si="3"/>
        <v>13632</v>
      </c>
    </row>
    <row r="237" spans="2:6" x14ac:dyDescent="0.2">
      <c r="B237" s="26">
        <v>4.1666666666666664E-2</v>
      </c>
      <c r="C237" s="27">
        <v>13694.13</v>
      </c>
      <c r="D237" s="27">
        <v>13557.87</v>
      </c>
      <c r="E237" t="s">
        <v>512</v>
      </c>
      <c r="F237" s="27">
        <f t="shared" si="3"/>
        <v>13626</v>
      </c>
    </row>
    <row r="238" spans="2:6" x14ac:dyDescent="0.2">
      <c r="B238" s="26">
        <v>4.1666666666666664E-2</v>
      </c>
      <c r="C238" s="27">
        <v>13746.39</v>
      </c>
      <c r="D238" s="27">
        <v>13609.61</v>
      </c>
      <c r="E238" t="s">
        <v>513</v>
      </c>
      <c r="F238" s="27">
        <f t="shared" si="3"/>
        <v>13678</v>
      </c>
    </row>
    <row r="239" spans="2:6" x14ac:dyDescent="0.2">
      <c r="B239" s="26">
        <v>4.1666666666666664E-2</v>
      </c>
      <c r="C239" s="27">
        <v>13726.29</v>
      </c>
      <c r="D239" s="27">
        <v>13589.71</v>
      </c>
      <c r="E239" t="s">
        <v>514</v>
      </c>
      <c r="F239" s="27">
        <f t="shared" si="3"/>
        <v>13658</v>
      </c>
    </row>
    <row r="240" spans="2:6" x14ac:dyDescent="0.2">
      <c r="B240" s="26">
        <v>4.1666666666666664E-2</v>
      </c>
      <c r="C240" s="27">
        <v>13722.27</v>
      </c>
      <c r="D240" s="27">
        <v>13585.73</v>
      </c>
      <c r="E240" t="s">
        <v>515</v>
      </c>
      <c r="F240" s="27">
        <f t="shared" si="3"/>
        <v>13654</v>
      </c>
    </row>
    <row r="241" spans="2:6" x14ac:dyDescent="0.2">
      <c r="B241" s="26">
        <v>4.1666666666666664E-2</v>
      </c>
      <c r="C241" s="27">
        <v>13716.24</v>
      </c>
      <c r="D241" s="27">
        <v>13579.76</v>
      </c>
      <c r="E241" t="s">
        <v>516</v>
      </c>
      <c r="F241" s="27">
        <f t="shared" si="3"/>
        <v>13648</v>
      </c>
    </row>
    <row r="242" spans="2:6" x14ac:dyDescent="0.2">
      <c r="B242" s="26">
        <v>4.1666666666666664E-2</v>
      </c>
      <c r="C242" s="27">
        <v>13726.29</v>
      </c>
      <c r="D242" s="27">
        <v>13589.71</v>
      </c>
      <c r="E242" t="s">
        <v>517</v>
      </c>
      <c r="F242" s="27">
        <f t="shared" si="3"/>
        <v>13658</v>
      </c>
    </row>
    <row r="243" spans="2:6" x14ac:dyDescent="0.2">
      <c r="B243" s="26">
        <v>4.1666666666666664E-2</v>
      </c>
      <c r="C243" s="27">
        <v>13774.53</v>
      </c>
      <c r="D243" s="27">
        <v>13637.47</v>
      </c>
      <c r="E243" t="s">
        <v>518</v>
      </c>
      <c r="F243" s="27">
        <f t="shared" si="3"/>
        <v>13706</v>
      </c>
    </row>
    <row r="244" spans="2:6" x14ac:dyDescent="0.2">
      <c r="B244" s="26">
        <v>4.1666666666666664E-2</v>
      </c>
      <c r="C244" s="27">
        <v>13722.27</v>
      </c>
      <c r="D244" s="27">
        <v>13585.73</v>
      </c>
      <c r="E244" t="s">
        <v>519</v>
      </c>
      <c r="F244" s="27">
        <f t="shared" si="3"/>
        <v>13654</v>
      </c>
    </row>
    <row r="245" spans="2:6" x14ac:dyDescent="0.2">
      <c r="B245" s="26">
        <v>4.1666666666666664E-2</v>
      </c>
      <c r="C245" s="27">
        <v>13776.54</v>
      </c>
      <c r="D245" s="27">
        <v>13639.46</v>
      </c>
      <c r="E245" t="s">
        <v>520</v>
      </c>
      <c r="F245" s="27">
        <f t="shared" si="3"/>
        <v>13708</v>
      </c>
    </row>
    <row r="246" spans="2:6" x14ac:dyDescent="0.2">
      <c r="B246" s="26">
        <v>4.1666666666666664E-2</v>
      </c>
      <c r="C246" s="27">
        <v>13881.06</v>
      </c>
      <c r="D246" s="27">
        <v>13742.94</v>
      </c>
      <c r="E246" t="s">
        <v>521</v>
      </c>
      <c r="F246" s="27">
        <f t="shared" si="3"/>
        <v>13812</v>
      </c>
    </row>
    <row r="247" spans="2:6" x14ac:dyDescent="0.2">
      <c r="B247" s="26">
        <v>4.1666666666666664E-2</v>
      </c>
      <c r="C247" s="27">
        <v>13929.3</v>
      </c>
      <c r="D247" s="27">
        <v>13790.7</v>
      </c>
      <c r="E247" t="s">
        <v>522</v>
      </c>
      <c r="F247" s="27">
        <f t="shared" si="3"/>
        <v>13860</v>
      </c>
    </row>
    <row r="248" spans="2:6" x14ac:dyDescent="0.2">
      <c r="B248" s="26">
        <v>4.1666666666666664E-2</v>
      </c>
      <c r="C248" s="27">
        <v>14003.67</v>
      </c>
      <c r="D248" s="27">
        <v>13864.33</v>
      </c>
      <c r="E248" t="s">
        <v>523</v>
      </c>
      <c r="F248" s="27">
        <f t="shared" si="3"/>
        <v>13934</v>
      </c>
    </row>
    <row r="249" spans="2:6" x14ac:dyDescent="0.2">
      <c r="B249" s="26">
        <v>4.1666666666666664E-2</v>
      </c>
      <c r="C249" s="27">
        <v>13988.6</v>
      </c>
      <c r="D249" s="27">
        <v>13849.41</v>
      </c>
      <c r="E249" t="s">
        <v>524</v>
      </c>
      <c r="F249" s="27">
        <f t="shared" si="3"/>
        <v>13919.005000000001</v>
      </c>
    </row>
    <row r="250" spans="2:6" x14ac:dyDescent="0.2">
      <c r="B250" s="26">
        <v>4.1666666666666664E-2</v>
      </c>
      <c r="C250" s="27">
        <v>14030.81</v>
      </c>
      <c r="D250" s="27">
        <v>13891.2</v>
      </c>
      <c r="E250" t="s">
        <v>525</v>
      </c>
      <c r="F250" s="27">
        <f t="shared" si="3"/>
        <v>13961.005000000001</v>
      </c>
    </row>
    <row r="251" spans="2:6" x14ac:dyDescent="0.2">
      <c r="B251" s="26">
        <v>4.1666666666666664E-2</v>
      </c>
      <c r="C251" s="27">
        <v>13968.5</v>
      </c>
      <c r="D251" s="27">
        <v>13829.51</v>
      </c>
      <c r="E251" t="s">
        <v>526</v>
      </c>
      <c r="F251" s="27">
        <f t="shared" si="3"/>
        <v>13899.005000000001</v>
      </c>
    </row>
    <row r="252" spans="2:6" x14ac:dyDescent="0.2">
      <c r="B252" s="26">
        <v>4.1666666666666664E-2</v>
      </c>
      <c r="C252" s="27">
        <v>13964.48</v>
      </c>
      <c r="D252" s="27">
        <v>13825.53</v>
      </c>
      <c r="E252" t="s">
        <v>527</v>
      </c>
      <c r="F252" s="27">
        <f>AVERAGE(C252:D252)</f>
        <v>13895.005000000001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8276-6AC0-F445-A195-76C6A4C24E0E}">
  <dimension ref="B1:G33"/>
  <sheetViews>
    <sheetView workbookViewId="0">
      <selection activeCell="K21" sqref="K21"/>
    </sheetView>
  </sheetViews>
  <sheetFormatPr baseColWidth="10" defaultRowHeight="16" x14ac:dyDescent="0.2"/>
  <cols>
    <col min="2" max="2" width="4" bestFit="1" customWidth="1"/>
    <col min="3" max="3" width="11.5" bestFit="1" customWidth="1"/>
    <col min="4" max="7" width="17.83203125" customWidth="1"/>
  </cols>
  <sheetData>
    <row r="1" spans="2:7" ht="17" thickBot="1" x14ac:dyDescent="0.25"/>
    <row r="2" spans="2:7" x14ac:dyDescent="0.2">
      <c r="D2" s="65" t="s">
        <v>675</v>
      </c>
      <c r="E2" s="65"/>
      <c r="F2" s="65"/>
      <c r="G2" s="65"/>
    </row>
    <row r="3" spans="2:7" ht="17" thickBot="1" x14ac:dyDescent="0.25">
      <c r="B3" s="2" t="s">
        <v>0</v>
      </c>
      <c r="C3" s="2" t="s">
        <v>690</v>
      </c>
      <c r="D3" s="36" t="s">
        <v>552</v>
      </c>
      <c r="E3" s="36" t="s">
        <v>553</v>
      </c>
      <c r="F3" s="36" t="s">
        <v>554</v>
      </c>
      <c r="G3" s="36" t="s">
        <v>102</v>
      </c>
    </row>
    <row r="4" spans="2:7" x14ac:dyDescent="0.2">
      <c r="B4" s="2">
        <v>1</v>
      </c>
      <c r="C4" s="2" t="s">
        <v>5</v>
      </c>
      <c r="D4" s="11">
        <v>425070</v>
      </c>
      <c r="E4" s="11">
        <v>396640</v>
      </c>
      <c r="F4" s="11">
        <v>371332</v>
      </c>
      <c r="G4" s="11">
        <v>312088</v>
      </c>
    </row>
    <row r="5" spans="2:7" x14ac:dyDescent="0.2">
      <c r="B5" s="2">
        <v>2</v>
      </c>
      <c r="C5" s="2" t="s">
        <v>7</v>
      </c>
      <c r="D5" s="11">
        <v>4041582392</v>
      </c>
      <c r="E5" s="11">
        <v>4338660357</v>
      </c>
      <c r="F5" s="11">
        <v>5124661677</v>
      </c>
      <c r="G5" s="11">
        <v>4362349214</v>
      </c>
    </row>
    <row r="6" spans="2:7" x14ac:dyDescent="0.2">
      <c r="B6" s="2">
        <v>3</v>
      </c>
      <c r="C6" s="2" t="s">
        <v>9</v>
      </c>
      <c r="D6" s="11">
        <v>1028596248</v>
      </c>
      <c r="E6" s="11">
        <v>628905895</v>
      </c>
      <c r="F6" s="11">
        <v>539622950</v>
      </c>
      <c r="G6" s="11">
        <v>1082890687</v>
      </c>
    </row>
    <row r="7" spans="2:7" x14ac:dyDescent="0.2">
      <c r="B7" s="2">
        <v>4</v>
      </c>
      <c r="C7" s="2" t="s">
        <v>11</v>
      </c>
      <c r="D7" s="11">
        <f>20349+X7</f>
        <v>20349</v>
      </c>
      <c r="E7" s="11">
        <f>22947+Y7</f>
        <v>22947</v>
      </c>
      <c r="F7" s="11">
        <f>23123+Z7</f>
        <v>23123</v>
      </c>
      <c r="G7" s="11">
        <f>21332+AA7</f>
        <v>21332</v>
      </c>
    </row>
    <row r="8" spans="2:7" x14ac:dyDescent="0.2">
      <c r="B8" s="2">
        <v>5</v>
      </c>
      <c r="C8" s="2" t="s">
        <v>13</v>
      </c>
      <c r="D8" s="6">
        <f>'Breakdown Bank 2018-2014'!D18</f>
        <v>559953214</v>
      </c>
      <c r="E8" s="6">
        <f>'Breakdown Bank 2018-2014'!E18</f>
        <v>587614889</v>
      </c>
      <c r="F8" s="6">
        <f>'Breakdown Bank 2018-2014'!F18</f>
        <v>606782452</v>
      </c>
      <c r="G8" s="6">
        <f>'Breakdown Bank 2018-2014'!G18</f>
        <v>458707798</v>
      </c>
    </row>
    <row r="9" spans="2:7" x14ac:dyDescent="0.2">
      <c r="B9" s="2">
        <v>6</v>
      </c>
      <c r="C9" s="2" t="s">
        <v>15</v>
      </c>
      <c r="D9" s="6">
        <f>'Breakdown Bank 2018-2014'!D29</f>
        <v>540390086</v>
      </c>
      <c r="E9" s="6">
        <f>'Breakdown Bank 2018-2014'!E29</f>
        <v>570067619</v>
      </c>
      <c r="F9" s="6">
        <f>'Breakdown Bank 2018-2014'!F29</f>
        <v>610460281</v>
      </c>
      <c r="G9" s="6">
        <f>'Breakdown Bank 2018-2014'!G29</f>
        <v>464645937</v>
      </c>
    </row>
    <row r="10" spans="2:7" x14ac:dyDescent="0.2">
      <c r="B10" s="2">
        <v>7</v>
      </c>
      <c r="C10" s="2" t="s">
        <v>17</v>
      </c>
      <c r="D10" s="6">
        <f>'Breakdown Bank 2018-2014'!D42</f>
        <v>863102438</v>
      </c>
      <c r="E10" s="6">
        <f>'Breakdown Bank 2018-2014'!E42</f>
        <v>882756588</v>
      </c>
      <c r="F10" s="6">
        <f>'Breakdown Bank 2018-2014'!F42</f>
        <v>982881118</v>
      </c>
      <c r="G10" s="6">
        <f>'Breakdown Bank 2018-2014'!G42</f>
        <v>749449640</v>
      </c>
    </row>
    <row r="11" spans="2:7" x14ac:dyDescent="0.2">
      <c r="B11" s="2">
        <v>8</v>
      </c>
      <c r="C11" s="2" t="s">
        <v>19</v>
      </c>
      <c r="D11" s="6">
        <f>'Breakdown Bank 2018-2014'!D49</f>
        <v>192074155</v>
      </c>
      <c r="E11" s="6">
        <f>'Breakdown Bank 2018-2014'!E49</f>
        <v>200225903</v>
      </c>
      <c r="F11" s="6">
        <f>'Breakdown Bank 2018-2014'!F49</f>
        <v>240414649</v>
      </c>
      <c r="G11" s="6">
        <f>'Breakdown Bank 2018-2014'!G49</f>
        <v>155331265</v>
      </c>
    </row>
    <row r="12" spans="2:7" x14ac:dyDescent="0.2">
      <c r="B12" s="2">
        <v>9</v>
      </c>
      <c r="C12" s="2" t="s">
        <v>21</v>
      </c>
      <c r="D12" s="6">
        <f>'Breakdown Bank 2018-2014'!D59</f>
        <v>870114318</v>
      </c>
      <c r="E12" s="6">
        <f>'Breakdown Bank 2018-2014'!E59</f>
        <v>867834706</v>
      </c>
      <c r="F12" s="6">
        <f>'Breakdown Bank 2018-2014'!F59</f>
        <v>894459258</v>
      </c>
      <c r="G12" s="6">
        <f>'Breakdown Bank 2018-2014'!G59</f>
        <v>768412758</v>
      </c>
    </row>
    <row r="13" spans="2:7" x14ac:dyDescent="0.2">
      <c r="B13" s="2">
        <v>10</v>
      </c>
      <c r="C13" s="2" t="s">
        <v>25</v>
      </c>
      <c r="D13" s="11">
        <f>120677866883+X13</f>
        <v>120677866883</v>
      </c>
      <c r="E13" s="11">
        <f>121383267850+Y13</f>
        <v>121383267850</v>
      </c>
      <c r="F13" s="11">
        <f>158609703549+Z13</f>
        <v>158609703549</v>
      </c>
      <c r="G13" s="11">
        <f>108763163086+AA13</f>
        <v>108763163086</v>
      </c>
    </row>
    <row r="14" spans="2:7" x14ac:dyDescent="0.2">
      <c r="B14" s="2">
        <v>11</v>
      </c>
      <c r="C14" s="2" t="s">
        <v>31</v>
      </c>
      <c r="D14" s="11">
        <v>1824402</v>
      </c>
      <c r="E14" s="11">
        <v>1739570</v>
      </c>
      <c r="F14" s="11">
        <v>1204710</v>
      </c>
      <c r="G14" s="11">
        <v>1187393</v>
      </c>
    </row>
    <row r="15" spans="2:7" x14ac:dyDescent="0.2">
      <c r="B15" s="2">
        <v>12</v>
      </c>
      <c r="C15" s="2" t="s">
        <v>33</v>
      </c>
      <c r="D15" s="11">
        <v>2374074</v>
      </c>
      <c r="E15" s="11">
        <v>2102288</v>
      </c>
      <c r="F15" s="11">
        <v>1610411</v>
      </c>
      <c r="G15" s="11">
        <v>1532275</v>
      </c>
    </row>
    <row r="16" spans="2:7" x14ac:dyDescent="0.2">
      <c r="B16" s="2">
        <v>13</v>
      </c>
      <c r="C16" s="2" t="s">
        <v>35</v>
      </c>
      <c r="D16" s="11">
        <v>1263253</v>
      </c>
      <c r="E16" s="11">
        <v>1444940</v>
      </c>
      <c r="F16" s="11">
        <v>1372890</v>
      </c>
      <c r="G16" s="11">
        <v>1015089</v>
      </c>
    </row>
    <row r="17" spans="2:7" x14ac:dyDescent="0.2">
      <c r="B17" s="2">
        <v>14</v>
      </c>
      <c r="C17" s="2" t="s">
        <v>37</v>
      </c>
      <c r="D17" s="11">
        <v>2975430</v>
      </c>
      <c r="E17" s="11">
        <v>2556866</v>
      </c>
      <c r="F17" s="11">
        <v>3606357</v>
      </c>
      <c r="G17" s="11">
        <v>2696412</v>
      </c>
    </row>
    <row r="18" spans="2:7" x14ac:dyDescent="0.2">
      <c r="B18" s="2">
        <v>15</v>
      </c>
      <c r="C18" s="2" t="s">
        <v>39</v>
      </c>
      <c r="D18" s="11">
        <v>86983</v>
      </c>
      <c r="E18" s="11">
        <v>128285</v>
      </c>
      <c r="F18" s="11">
        <v>106386</v>
      </c>
      <c r="G18" s="11">
        <v>92706</v>
      </c>
    </row>
    <row r="19" spans="2:7" x14ac:dyDescent="0.2">
      <c r="B19" s="2">
        <v>16</v>
      </c>
      <c r="C19" s="2" t="s">
        <v>41</v>
      </c>
      <c r="D19" s="11">
        <v>4296339</v>
      </c>
      <c r="E19" s="11">
        <v>4921554</v>
      </c>
      <c r="F19" s="11">
        <v>4030521</v>
      </c>
      <c r="G19" s="11">
        <v>3570320</v>
      </c>
    </row>
    <row r="20" spans="2:7" x14ac:dyDescent="0.2">
      <c r="B20" s="2">
        <v>17</v>
      </c>
      <c r="C20" s="2" t="s">
        <v>43</v>
      </c>
      <c r="D20" s="11">
        <f>193189+X20</f>
        <v>193189</v>
      </c>
      <c r="E20" s="11">
        <f>226422+Y20</f>
        <v>226422</v>
      </c>
      <c r="F20" s="11">
        <f>255472+Z20</f>
        <v>255472</v>
      </c>
      <c r="G20" s="11">
        <f>203867+AA20</f>
        <v>203867</v>
      </c>
    </row>
    <row r="21" spans="2:7" x14ac:dyDescent="0.2">
      <c r="B21" s="2">
        <v>18</v>
      </c>
      <c r="C21" s="2" t="s">
        <v>45</v>
      </c>
      <c r="D21" s="11">
        <v>2571106</v>
      </c>
      <c r="E21" s="11">
        <v>2419034</v>
      </c>
      <c r="F21" s="11">
        <v>2758920</v>
      </c>
      <c r="G21" s="11">
        <v>2710295</v>
      </c>
    </row>
    <row r="22" spans="2:7" x14ac:dyDescent="0.2">
      <c r="B22" s="2">
        <v>19</v>
      </c>
      <c r="C22" s="2" t="s">
        <v>47</v>
      </c>
      <c r="D22" s="11">
        <v>149032</v>
      </c>
      <c r="E22" s="11">
        <f>131702+Y22</f>
        <v>131702</v>
      </c>
      <c r="F22" s="11">
        <f>160162+Z22</f>
        <v>160162</v>
      </c>
      <c r="G22" s="11">
        <f>170344+AA22</f>
        <v>170344</v>
      </c>
    </row>
    <row r="23" spans="2:7" x14ac:dyDescent="0.2">
      <c r="B23" s="2">
        <v>20</v>
      </c>
      <c r="C23" s="2" t="s">
        <v>51</v>
      </c>
      <c r="D23" s="11">
        <v>36050509</v>
      </c>
      <c r="E23" s="11">
        <v>4486214</v>
      </c>
      <c r="F23" s="11">
        <v>245458705</v>
      </c>
      <c r="G23" s="11">
        <v>59667738</v>
      </c>
    </row>
    <row r="24" spans="2:7" x14ac:dyDescent="0.2">
      <c r="B24" s="2">
        <v>21</v>
      </c>
      <c r="C24" s="2" t="s">
        <v>53</v>
      </c>
      <c r="D24" s="11">
        <v>1782915</v>
      </c>
      <c r="E24" s="11">
        <v>1791757</v>
      </c>
      <c r="F24" s="11">
        <v>2311726</v>
      </c>
      <c r="G24" s="11">
        <v>1973291</v>
      </c>
    </row>
    <row r="25" spans="2:7" x14ac:dyDescent="0.2">
      <c r="B25" s="2">
        <v>22</v>
      </c>
      <c r="C25" s="2" t="s">
        <v>61</v>
      </c>
      <c r="D25" s="11">
        <v>2636226</v>
      </c>
      <c r="E25" s="11">
        <f>408907+2752935+Y25</f>
        <v>3161842</v>
      </c>
      <c r="F25" s="11">
        <f>269041+2708607+Z25</f>
        <v>2977648</v>
      </c>
      <c r="G25" s="11">
        <f>368479+2625782+AA25</f>
        <v>2994261</v>
      </c>
    </row>
    <row r="26" spans="2:7" x14ac:dyDescent="0.2">
      <c r="B26" s="2">
        <v>23</v>
      </c>
      <c r="C26" s="2" t="s">
        <v>63</v>
      </c>
      <c r="D26" s="11">
        <v>63236528</v>
      </c>
      <c r="E26" s="11">
        <v>322089553</v>
      </c>
      <c r="F26" s="11">
        <v>323931703</v>
      </c>
      <c r="G26" s="11">
        <v>312820774</v>
      </c>
    </row>
    <row r="27" spans="2:7" x14ac:dyDescent="0.2">
      <c r="B27" s="2">
        <v>24</v>
      </c>
      <c r="C27" s="2" t="s">
        <v>65</v>
      </c>
      <c r="D27" s="11">
        <v>1809468</v>
      </c>
      <c r="E27" s="11">
        <v>1709773</v>
      </c>
      <c r="F27" s="11">
        <v>1860062</v>
      </c>
      <c r="G27" s="11">
        <v>1491012</v>
      </c>
    </row>
    <row r="28" spans="2:7" x14ac:dyDescent="0.2">
      <c r="B28" s="2">
        <v>25</v>
      </c>
      <c r="C28" s="2" t="s">
        <v>67</v>
      </c>
      <c r="D28" s="11">
        <v>1938301</v>
      </c>
      <c r="E28" s="11">
        <v>2274209</v>
      </c>
      <c r="F28" s="11">
        <v>2407633</v>
      </c>
      <c r="G28" s="11">
        <v>2429743</v>
      </c>
    </row>
    <row r="29" spans="2:7" x14ac:dyDescent="0.2">
      <c r="B29" s="2">
        <v>26</v>
      </c>
      <c r="C29" s="2" t="s">
        <v>71</v>
      </c>
      <c r="D29" s="11">
        <v>3126118017</v>
      </c>
      <c r="E29" s="11">
        <v>3375149606</v>
      </c>
      <c r="F29" s="11">
        <v>3412678680</v>
      </c>
      <c r="G29" s="11">
        <v>3373788063</v>
      </c>
    </row>
    <row r="30" spans="2:7" x14ac:dyDescent="0.2">
      <c r="B30" s="2">
        <v>27</v>
      </c>
      <c r="C30" s="2" t="s">
        <v>79</v>
      </c>
      <c r="D30" s="11">
        <v>9719</v>
      </c>
      <c r="E30" s="11">
        <v>10848</v>
      </c>
      <c r="F30" s="11">
        <v>10957</v>
      </c>
      <c r="G30" s="11">
        <v>10565</v>
      </c>
    </row>
    <row r="31" spans="2:7" x14ac:dyDescent="0.2">
      <c r="B31" s="2">
        <v>28</v>
      </c>
      <c r="C31" s="2" t="s">
        <v>85</v>
      </c>
      <c r="D31" s="11">
        <v>12601022</v>
      </c>
      <c r="E31" s="11">
        <v>6395313</v>
      </c>
      <c r="F31" s="11">
        <v>6459902</v>
      </c>
      <c r="G31" s="11">
        <v>6021534</v>
      </c>
    </row>
    <row r="32" spans="2:7" x14ac:dyDescent="0.2">
      <c r="B32" s="2">
        <v>29</v>
      </c>
      <c r="C32" s="2" t="s">
        <v>87</v>
      </c>
      <c r="D32" s="11">
        <v>4188504</v>
      </c>
      <c r="E32" s="11">
        <v>4871493</v>
      </c>
      <c r="F32" s="11">
        <v>4507889</v>
      </c>
      <c r="G32" s="11">
        <v>2915939</v>
      </c>
    </row>
    <row r="33" spans="2:7" x14ac:dyDescent="0.2">
      <c r="B33" s="2">
        <v>30</v>
      </c>
      <c r="C33" s="2" t="s">
        <v>89</v>
      </c>
      <c r="D33" s="11">
        <v>1411889858</v>
      </c>
      <c r="E33" s="11">
        <v>1960255728</v>
      </c>
      <c r="F33" s="11">
        <v>2261493311</v>
      </c>
      <c r="G33" s="11">
        <v>2131699450</v>
      </c>
    </row>
  </sheetData>
  <mergeCells count="1">
    <mergeCell ref="D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D55C-02D3-274A-B86D-3321CD484D78}">
  <dimension ref="B2:BP37"/>
  <sheetViews>
    <sheetView workbookViewId="0">
      <pane xSplit="3" ySplit="4" topLeftCell="AK5" activePane="bottomRight" state="frozen"/>
      <selection pane="topRight" activeCell="D1" sqref="D1"/>
      <selection pane="bottomLeft" activeCell="A4" sqref="A4"/>
      <selection pane="bottomRight" activeCell="AS3" sqref="AS3:AV3"/>
    </sheetView>
  </sheetViews>
  <sheetFormatPr baseColWidth="10" defaultRowHeight="16" x14ac:dyDescent="0.2"/>
  <cols>
    <col min="2" max="2" width="4" bestFit="1" customWidth="1"/>
    <col min="3" max="3" width="11.5" bestFit="1" customWidth="1"/>
    <col min="4" max="4" width="45.5" customWidth="1"/>
    <col min="5" max="6" width="8" customWidth="1"/>
    <col min="7" max="8" width="10.83203125" customWidth="1"/>
    <col min="9" max="15" width="18.6640625" customWidth="1"/>
    <col min="16" max="16" width="18.6640625" bestFit="1" customWidth="1"/>
    <col min="17" max="24" width="18.6640625" customWidth="1"/>
    <col min="25" max="26" width="19.6640625" customWidth="1"/>
    <col min="27" max="35" width="18.6640625" customWidth="1"/>
    <col min="36" max="36" width="18.6640625" bestFit="1" customWidth="1"/>
    <col min="37" max="40" width="17.6640625" customWidth="1"/>
    <col min="41" max="43" width="16" customWidth="1"/>
    <col min="44" max="44" width="17.6640625" customWidth="1"/>
    <col min="45" max="48" width="16" customWidth="1"/>
    <col min="49" max="57" width="11.1640625" customWidth="1"/>
    <col min="58" max="68" width="10.83203125" customWidth="1"/>
  </cols>
  <sheetData>
    <row r="2" spans="2:68" ht="17" thickBot="1" x14ac:dyDescent="0.25"/>
    <row r="3" spans="2:68" x14ac:dyDescent="0.2">
      <c r="B3" s="1" t="s">
        <v>687</v>
      </c>
      <c r="I3" s="63" t="s">
        <v>682</v>
      </c>
      <c r="J3" s="64"/>
      <c r="K3" s="64"/>
      <c r="L3" s="64"/>
      <c r="M3" s="61" t="s">
        <v>681</v>
      </c>
      <c r="N3" s="62"/>
      <c r="O3" s="62"/>
      <c r="P3" s="62"/>
      <c r="Q3" s="58" t="s">
        <v>171</v>
      </c>
      <c r="R3" s="59"/>
      <c r="S3" s="59"/>
      <c r="T3" s="59"/>
      <c r="U3" s="60" t="s">
        <v>170</v>
      </c>
      <c r="V3" s="60"/>
      <c r="W3" s="60"/>
      <c r="X3" s="60"/>
      <c r="Y3" s="57" t="s">
        <v>555</v>
      </c>
      <c r="Z3" s="57"/>
      <c r="AA3" s="57"/>
      <c r="AB3" s="57"/>
      <c r="AC3" s="63" t="s">
        <v>683</v>
      </c>
      <c r="AD3" s="64"/>
      <c r="AE3" s="64"/>
      <c r="AF3" s="64"/>
      <c r="AG3" s="61" t="s">
        <v>684</v>
      </c>
      <c r="AH3" s="62"/>
      <c r="AI3" s="62"/>
      <c r="AJ3" s="62"/>
      <c r="AK3" s="59" t="s">
        <v>559</v>
      </c>
      <c r="AL3" s="59"/>
      <c r="AM3" s="59"/>
      <c r="AN3" s="59"/>
      <c r="AO3" s="60" t="s">
        <v>560</v>
      </c>
      <c r="AP3" s="60"/>
      <c r="AQ3" s="60"/>
      <c r="AR3" s="60"/>
      <c r="AS3" s="57" t="s">
        <v>561</v>
      </c>
      <c r="AT3" s="57"/>
      <c r="AU3" s="57"/>
      <c r="AV3" s="57"/>
      <c r="AW3" s="59" t="s">
        <v>686</v>
      </c>
      <c r="AX3" s="59"/>
      <c r="AY3" s="59"/>
      <c r="AZ3" s="59"/>
      <c r="BA3" s="59" t="s">
        <v>685</v>
      </c>
      <c r="BB3" s="59"/>
      <c r="BC3" s="59"/>
      <c r="BD3" s="59"/>
      <c r="BE3" s="59" t="s">
        <v>175</v>
      </c>
      <c r="BF3" s="59"/>
      <c r="BG3" s="59"/>
      <c r="BH3" s="59"/>
      <c r="BI3" s="60" t="s">
        <v>174</v>
      </c>
      <c r="BJ3" s="60"/>
      <c r="BK3" s="60"/>
      <c r="BL3" s="60"/>
      <c r="BM3" s="57" t="s">
        <v>557</v>
      </c>
      <c r="BN3" s="57"/>
      <c r="BO3" s="57"/>
      <c r="BP3" s="57"/>
    </row>
    <row r="4" spans="2:68" s="4" customFormat="1" ht="17" thickBot="1" x14ac:dyDescent="0.25">
      <c r="B4" s="5" t="s">
        <v>0</v>
      </c>
      <c r="C4" s="5" t="s">
        <v>690</v>
      </c>
      <c r="D4" s="5" t="s">
        <v>2</v>
      </c>
      <c r="E4" s="5" t="s">
        <v>623</v>
      </c>
      <c r="F4" s="5" t="s">
        <v>624</v>
      </c>
      <c r="G4" s="5" t="s">
        <v>151</v>
      </c>
      <c r="H4" s="5" t="s">
        <v>150</v>
      </c>
      <c r="I4" s="35" t="s">
        <v>552</v>
      </c>
      <c r="J4" s="36" t="s">
        <v>553</v>
      </c>
      <c r="K4" s="36" t="s">
        <v>554</v>
      </c>
      <c r="L4" s="36" t="s">
        <v>102</v>
      </c>
      <c r="M4" s="35" t="s">
        <v>552</v>
      </c>
      <c r="N4" s="36" t="s">
        <v>553</v>
      </c>
      <c r="O4" s="36" t="s">
        <v>554</v>
      </c>
      <c r="P4" s="36" t="s">
        <v>102</v>
      </c>
      <c r="Q4" s="35" t="s">
        <v>552</v>
      </c>
      <c r="R4" s="36" t="s">
        <v>553</v>
      </c>
      <c r="S4" s="36" t="s">
        <v>554</v>
      </c>
      <c r="T4" s="36" t="s">
        <v>102</v>
      </c>
      <c r="U4" s="36" t="s">
        <v>552</v>
      </c>
      <c r="V4" s="36" t="s">
        <v>553</v>
      </c>
      <c r="W4" s="36" t="s">
        <v>554</v>
      </c>
      <c r="X4" s="36" t="s">
        <v>102</v>
      </c>
      <c r="Y4" s="36" t="s">
        <v>552</v>
      </c>
      <c r="Z4" s="36" t="s">
        <v>553</v>
      </c>
      <c r="AA4" s="36" t="s">
        <v>554</v>
      </c>
      <c r="AB4" s="36" t="s">
        <v>102</v>
      </c>
      <c r="AC4" s="35" t="s">
        <v>552</v>
      </c>
      <c r="AD4" s="36" t="s">
        <v>553</v>
      </c>
      <c r="AE4" s="36" t="s">
        <v>554</v>
      </c>
      <c r="AF4" s="36" t="s">
        <v>102</v>
      </c>
      <c r="AG4" s="35" t="s">
        <v>552</v>
      </c>
      <c r="AH4" s="36" t="s">
        <v>553</v>
      </c>
      <c r="AI4" s="36" t="s">
        <v>554</v>
      </c>
      <c r="AJ4" s="36" t="s">
        <v>102</v>
      </c>
      <c r="AK4" s="36" t="s">
        <v>552</v>
      </c>
      <c r="AL4" s="36" t="s">
        <v>553</v>
      </c>
      <c r="AM4" s="36" t="s">
        <v>554</v>
      </c>
      <c r="AN4" s="36" t="s">
        <v>102</v>
      </c>
      <c r="AO4" s="36" t="s">
        <v>552</v>
      </c>
      <c r="AP4" s="36" t="s">
        <v>553</v>
      </c>
      <c r="AQ4" s="36" t="s">
        <v>554</v>
      </c>
      <c r="AR4" s="36" t="s">
        <v>102</v>
      </c>
      <c r="AS4" s="36" t="s">
        <v>552</v>
      </c>
      <c r="AT4" s="36" t="s">
        <v>553</v>
      </c>
      <c r="AU4" s="36" t="s">
        <v>554</v>
      </c>
      <c r="AV4" s="36" t="s">
        <v>102</v>
      </c>
      <c r="AW4" s="36" t="s">
        <v>552</v>
      </c>
      <c r="AX4" s="36" t="s">
        <v>553</v>
      </c>
      <c r="AY4" s="36" t="s">
        <v>554</v>
      </c>
      <c r="AZ4" s="36" t="s">
        <v>102</v>
      </c>
      <c r="BA4" s="36" t="s">
        <v>552</v>
      </c>
      <c r="BB4" s="36" t="s">
        <v>553</v>
      </c>
      <c r="BC4" s="36" t="s">
        <v>554</v>
      </c>
      <c r="BD4" s="36" t="s">
        <v>102</v>
      </c>
      <c r="BE4" s="36" t="s">
        <v>552</v>
      </c>
      <c r="BF4" s="36" t="s">
        <v>553</v>
      </c>
      <c r="BG4" s="36" t="s">
        <v>554</v>
      </c>
      <c r="BH4" s="36" t="s">
        <v>102</v>
      </c>
      <c r="BI4" s="36" t="s">
        <v>552</v>
      </c>
      <c r="BJ4" s="36" t="s">
        <v>553</v>
      </c>
      <c r="BK4" s="36" t="s">
        <v>554</v>
      </c>
      <c r="BL4" s="36" t="s">
        <v>102</v>
      </c>
      <c r="BM4" s="36" t="s">
        <v>552</v>
      </c>
      <c r="BN4" s="36" t="s">
        <v>553</v>
      </c>
      <c r="BO4" s="36" t="s">
        <v>554</v>
      </c>
      <c r="BP4" s="36" t="s">
        <v>102</v>
      </c>
    </row>
    <row r="5" spans="2:68" x14ac:dyDescent="0.2">
      <c r="B5" s="2">
        <v>1</v>
      </c>
      <c r="C5" s="2" t="s">
        <v>5</v>
      </c>
      <c r="D5" s="2" t="s">
        <v>6</v>
      </c>
      <c r="E5" s="2"/>
      <c r="F5" s="2"/>
      <c r="G5" s="2" t="s">
        <v>103</v>
      </c>
      <c r="H5" s="2" t="s">
        <v>103</v>
      </c>
      <c r="I5" s="6">
        <v>544163</v>
      </c>
      <c r="J5" s="6">
        <v>544872</v>
      </c>
      <c r="K5" s="6">
        <v>364573</v>
      </c>
      <c r="L5" s="11">
        <v>470290</v>
      </c>
      <c r="M5" s="6">
        <v>554716</v>
      </c>
      <c r="N5" s="6">
        <v>856876</v>
      </c>
      <c r="O5" s="6">
        <v>708888</v>
      </c>
      <c r="P5" s="11">
        <v>594367</v>
      </c>
      <c r="Q5" s="6">
        <v>309441</v>
      </c>
      <c r="R5" s="6">
        <v>390299</v>
      </c>
      <c r="S5" s="6">
        <v>390299</v>
      </c>
      <c r="T5" s="11">
        <v>433760</v>
      </c>
      <c r="U5" s="11">
        <v>305886</v>
      </c>
      <c r="V5" s="11">
        <v>253020</v>
      </c>
      <c r="W5" s="11">
        <v>219788</v>
      </c>
      <c r="X5" s="11">
        <v>214117</v>
      </c>
      <c r="Y5" s="11">
        <v>369255</v>
      </c>
      <c r="Z5" s="11">
        <v>406179</v>
      </c>
      <c r="AA5" s="11">
        <v>339196</v>
      </c>
      <c r="AB5" s="11">
        <v>310324</v>
      </c>
      <c r="AC5" s="6">
        <v>11426</v>
      </c>
      <c r="AD5" s="6">
        <v>12483</v>
      </c>
      <c r="AE5" s="6">
        <v>13097</v>
      </c>
      <c r="AF5" s="11">
        <v>16499</v>
      </c>
      <c r="AG5" s="6">
        <v>3268</v>
      </c>
      <c r="AH5" s="6">
        <v>3234</v>
      </c>
      <c r="AI5" s="6">
        <v>3225</v>
      </c>
      <c r="AJ5" s="11">
        <v>10561</v>
      </c>
      <c r="AK5" s="6">
        <v>3287</v>
      </c>
      <c r="AL5" s="6">
        <v>3274</v>
      </c>
      <c r="AM5" s="6">
        <v>3274</v>
      </c>
      <c r="AN5" s="6">
        <v>3274</v>
      </c>
      <c r="AO5" s="6">
        <v>3287</v>
      </c>
      <c r="AP5" s="6">
        <v>3287</v>
      </c>
      <c r="AQ5" s="6">
        <v>3287</v>
      </c>
      <c r="AR5" s="6">
        <v>3287</v>
      </c>
      <c r="AS5" s="6">
        <v>0</v>
      </c>
      <c r="AT5" s="6">
        <v>0</v>
      </c>
      <c r="AU5" s="6">
        <v>0</v>
      </c>
      <c r="AV5" s="6">
        <v>0</v>
      </c>
      <c r="AW5" s="33">
        <f t="shared" ref="AW5:AW34" si="0">IFERROR((AC5/I5)*100,0)</f>
        <v>2.0997384974722646</v>
      </c>
      <c r="AX5" s="33">
        <f t="shared" ref="AX5:AX34" si="1">IFERROR((AD5/J5)*100,0)</f>
        <v>2.2909967845659165</v>
      </c>
      <c r="AY5" s="33">
        <f t="shared" ref="AY5:AY34" si="2">IFERROR((AE5/K5)*100,0)</f>
        <v>3.5924218194984272</v>
      </c>
      <c r="AZ5" s="33">
        <f t="shared" ref="AZ5:AZ34" si="3">IFERROR((AF5/L5)*100,0)</f>
        <v>3.5082608603202283</v>
      </c>
      <c r="BA5" s="33">
        <f t="shared" ref="BA5:BA34" si="4">IFERROR((AG5/M5)*100,0)</f>
        <v>0.58913029369983927</v>
      </c>
      <c r="BB5" s="33">
        <f t="shared" ref="BB5:BB34" si="5">IFERROR((AH5/N5)*100,0)</f>
        <v>0.37741750264915808</v>
      </c>
      <c r="BC5" s="33">
        <f t="shared" ref="BC5:BC34" si="6">IFERROR((AI5/O5)*100,0)</f>
        <v>0.4549378745302502</v>
      </c>
      <c r="BD5" s="33">
        <f t="shared" ref="BD5:BD34" si="7">IFERROR((AJ5/P5)*100,0)</f>
        <v>1.7768483108920918</v>
      </c>
      <c r="BE5" s="33">
        <f t="shared" ref="BE5:BE34" si="8">IFERROR((AK5/Q5)*100,0)</f>
        <v>1.0622380356837007</v>
      </c>
      <c r="BF5" s="33">
        <f t="shared" ref="BF5:BF34" si="9">IFERROR((AL5/R5)*100,0)</f>
        <v>0.83884406570347347</v>
      </c>
      <c r="BG5" s="33">
        <f t="shared" ref="BG5:BG34" si="10">IFERROR((AM5/S5)*100,0)</f>
        <v>0.83884406570347347</v>
      </c>
      <c r="BH5" s="33">
        <f t="shared" ref="BH5:BH34" si="11">IFERROR((AN5/T5)*100,0)</f>
        <v>0.75479527849502026</v>
      </c>
      <c r="BI5" s="33">
        <f t="shared" ref="BI5:BI34" si="12">IFERROR((AO5/U5)*100,0)</f>
        <v>1.0745833415063129</v>
      </c>
      <c r="BJ5" s="33">
        <f t="shared" ref="BJ5:BJ34" si="13">IFERROR((AP5/V5)*100,0)</f>
        <v>1.299106789977077</v>
      </c>
      <c r="BK5" s="33">
        <f t="shared" ref="BK5:BK34" si="14">IFERROR((AQ5/W5)*100,0)</f>
        <v>1.4955320581651408</v>
      </c>
      <c r="BL5" s="33">
        <f t="shared" ref="BL5:BL34" si="15">IFERROR((AR5/X5)*100,0)</f>
        <v>1.5351420018027526</v>
      </c>
      <c r="BM5" s="33">
        <f t="shared" ref="BM5:BM34" si="16">IFERROR((AS5/Y5)*100,0)</f>
        <v>0</v>
      </c>
      <c r="BN5" s="33">
        <f t="shared" ref="BN5:BN34" si="17">IFERROR((AT5/Z5)*100,0)</f>
        <v>0</v>
      </c>
      <c r="BO5" s="33">
        <f t="shared" ref="BO5:BO34" si="18">IFERROR((AU5/AA5)*100,0)</f>
        <v>0</v>
      </c>
      <c r="BP5" s="33">
        <f t="shared" ref="BP5:BP34" si="19">IFERROR((AV5/AB5)*100,0)</f>
        <v>0</v>
      </c>
    </row>
    <row r="6" spans="2:68" x14ac:dyDescent="0.2">
      <c r="B6" s="2">
        <v>2</v>
      </c>
      <c r="C6" s="2" t="s">
        <v>7</v>
      </c>
      <c r="D6" s="2" t="s">
        <v>8</v>
      </c>
      <c r="E6" s="2"/>
      <c r="F6" s="2"/>
      <c r="G6" s="2" t="s">
        <v>103</v>
      </c>
      <c r="H6" s="2" t="s">
        <v>103</v>
      </c>
      <c r="I6" s="6">
        <v>7241066265</v>
      </c>
      <c r="J6" s="6">
        <v>6554758149</v>
      </c>
      <c r="K6" s="11">
        <v>6543241545</v>
      </c>
      <c r="L6" s="11">
        <v>6975564287</v>
      </c>
      <c r="M6" s="6">
        <v>7609434617</v>
      </c>
      <c r="N6" s="6">
        <v>8496760447</v>
      </c>
      <c r="O6" s="11">
        <v>7515648149</v>
      </c>
      <c r="P6" s="11">
        <v>90186024</v>
      </c>
      <c r="Q6" s="6">
        <v>3551293943</v>
      </c>
      <c r="R6" s="6">
        <v>4494404701</v>
      </c>
      <c r="S6" s="11">
        <v>5421279950</v>
      </c>
      <c r="T6" s="11">
        <v>5500759730</v>
      </c>
      <c r="U6" s="11">
        <v>6333617221</v>
      </c>
      <c r="V6" s="11">
        <v>3834403359</v>
      </c>
      <c r="W6" s="11">
        <v>3648594379</v>
      </c>
      <c r="X6" s="11">
        <v>3340670777</v>
      </c>
      <c r="Y6" s="11">
        <v>5086887243</v>
      </c>
      <c r="Z6" s="11">
        <v>4608214561</v>
      </c>
      <c r="AA6" s="11">
        <v>4873450422</v>
      </c>
      <c r="AB6" s="11">
        <v>5278677784</v>
      </c>
      <c r="AC6" s="6">
        <v>89105357</v>
      </c>
      <c r="AD6" s="6">
        <v>88916956</v>
      </c>
      <c r="AE6" s="11">
        <v>93916956</v>
      </c>
      <c r="AF6" s="11">
        <v>94400857</v>
      </c>
      <c r="AG6" s="6">
        <v>352807893</v>
      </c>
      <c r="AH6" s="6">
        <v>352807893</v>
      </c>
      <c r="AI6" s="11">
        <v>453909194</v>
      </c>
      <c r="AJ6" s="11">
        <v>90186024</v>
      </c>
      <c r="AK6" s="6">
        <v>263373812</v>
      </c>
      <c r="AL6" s="6">
        <v>263299186</v>
      </c>
      <c r="AM6" s="6">
        <v>263227437</v>
      </c>
      <c r="AN6" s="6">
        <f>SUMIF('Daftar LQ 45'!$C$5:$C$45,'2023 - 2019'!C6,'Daftar LQ 45'!$W$5:$W$45)</f>
        <v>352807893</v>
      </c>
      <c r="AO6" s="6">
        <v>207096247</v>
      </c>
      <c r="AP6" s="6">
        <v>207086026</v>
      </c>
      <c r="AQ6" s="6">
        <v>206390285</v>
      </c>
      <c r="AR6" s="6">
        <f>SUMIF('Daftar LQ 45'!$C$5:$C$45,'2023 - 2019'!C6,'Daftar LQ 45'!$X$5:$X$45)</f>
        <v>263529945</v>
      </c>
      <c r="AS6" s="6">
        <v>216002788</v>
      </c>
      <c r="AT6" s="6">
        <v>216002788</v>
      </c>
      <c r="AU6" s="6">
        <v>216002788</v>
      </c>
      <c r="AV6" s="11">
        <v>209966518</v>
      </c>
      <c r="AW6" s="33">
        <f t="shared" si="0"/>
        <v>1.2305557460604182</v>
      </c>
      <c r="AX6" s="33">
        <f t="shared" si="1"/>
        <v>1.3565253511842423</v>
      </c>
      <c r="AY6" s="33">
        <f t="shared" si="2"/>
        <v>1.4353276637290944</v>
      </c>
      <c r="AZ6" s="33">
        <f t="shared" si="3"/>
        <v>1.3533078202136279</v>
      </c>
      <c r="BA6" s="33">
        <f t="shared" si="4"/>
        <v>4.636453439153061</v>
      </c>
      <c r="BB6" s="33">
        <f t="shared" si="5"/>
        <v>4.1522636209494159</v>
      </c>
      <c r="BC6" s="33">
        <f t="shared" si="6"/>
        <v>6.0395216087969095</v>
      </c>
      <c r="BD6" s="33">
        <f t="shared" si="7"/>
        <v>100</v>
      </c>
      <c r="BE6" s="33">
        <f t="shared" si="8"/>
        <v>7.416277453437484</v>
      </c>
      <c r="BF6" s="33">
        <f t="shared" si="9"/>
        <v>5.8583773272891122</v>
      </c>
      <c r="BG6" s="33">
        <f t="shared" si="10"/>
        <v>4.8554481492880663</v>
      </c>
      <c r="BH6" s="33">
        <f t="shared" si="11"/>
        <v>6.4138030075347432</v>
      </c>
      <c r="BI6" s="33">
        <f t="shared" si="12"/>
        <v>3.2697941756464735</v>
      </c>
      <c r="BJ6" s="33">
        <f t="shared" si="13"/>
        <v>5.4007366104020775</v>
      </c>
      <c r="BK6" s="33">
        <f t="shared" si="14"/>
        <v>5.6567067632376027</v>
      </c>
      <c r="BL6" s="33">
        <f t="shared" si="15"/>
        <v>7.8885338481829086</v>
      </c>
      <c r="BM6" s="33">
        <f t="shared" si="16"/>
        <v>4.2462664824591627</v>
      </c>
      <c r="BN6" s="33">
        <f t="shared" si="17"/>
        <v>4.6873422480815776</v>
      </c>
      <c r="BO6" s="33">
        <f t="shared" si="18"/>
        <v>4.4322352603590316</v>
      </c>
      <c r="BP6" s="33">
        <f t="shared" si="19"/>
        <v>3.9776346765552075</v>
      </c>
    </row>
    <row r="7" spans="2:68" x14ac:dyDescent="0.2">
      <c r="B7" s="2">
        <v>3</v>
      </c>
      <c r="C7" s="2" t="s">
        <v>9</v>
      </c>
      <c r="D7" s="2" t="s">
        <v>10</v>
      </c>
      <c r="E7" s="2"/>
      <c r="F7" s="2"/>
      <c r="G7" s="2" t="s">
        <v>103</v>
      </c>
      <c r="H7" s="2" t="s">
        <v>103</v>
      </c>
      <c r="I7" s="6">
        <v>1838771</v>
      </c>
      <c r="J7" s="6">
        <v>1355145</v>
      </c>
      <c r="K7" s="11">
        <v>791561</v>
      </c>
      <c r="L7" s="11">
        <v>1242062</v>
      </c>
      <c r="M7" s="6">
        <v>1411802</v>
      </c>
      <c r="N7" s="6">
        <v>1474544</v>
      </c>
      <c r="O7" s="11">
        <v>1019614</v>
      </c>
      <c r="P7" s="11">
        <v>911328</v>
      </c>
      <c r="Q7" s="6">
        <v>1079891925</v>
      </c>
      <c r="R7" s="6">
        <v>950542575</v>
      </c>
      <c r="S7" s="11">
        <v>1063544612</v>
      </c>
      <c r="T7" s="11">
        <v>1044084</v>
      </c>
      <c r="U7" s="11">
        <v>579427631</v>
      </c>
      <c r="V7" s="11">
        <v>737542687</v>
      </c>
      <c r="W7" s="11">
        <v>898987434</v>
      </c>
      <c r="X7" s="11">
        <v>1398700</v>
      </c>
      <c r="Y7" s="11">
        <v>1425342349</v>
      </c>
      <c r="Z7" s="11">
        <v>1272792345</v>
      </c>
      <c r="AA7" s="11">
        <v>960342349</v>
      </c>
      <c r="AB7" s="11">
        <v>1106199688</v>
      </c>
      <c r="AC7" s="6">
        <v>191497</v>
      </c>
      <c r="AD7" s="6">
        <v>201135</v>
      </c>
      <c r="AE7" s="11">
        <v>149626</v>
      </c>
      <c r="AF7" s="11">
        <v>150161</v>
      </c>
      <c r="AG7" s="6">
        <v>121309</v>
      </c>
      <c r="AH7" s="6">
        <v>135762</v>
      </c>
      <c r="AI7" s="11">
        <v>150161</v>
      </c>
      <c r="AJ7" s="11">
        <v>140837</v>
      </c>
      <c r="AK7" s="6">
        <v>98557151</v>
      </c>
      <c r="AL7" s="6">
        <v>100801771</v>
      </c>
      <c r="AM7" s="6">
        <v>98659234</v>
      </c>
      <c r="AN7" s="6">
        <f>SUMIF('Daftar LQ 45'!$C$5:$C$45,'2023 - 2019'!C7,'Daftar LQ 45'!$W$5:$W$45)</f>
        <v>117925</v>
      </c>
      <c r="AO7" s="6">
        <v>109030897</v>
      </c>
      <c r="AP7" s="6">
        <v>114274969</v>
      </c>
      <c r="AQ7" s="6">
        <v>118032313</v>
      </c>
      <c r="AR7" s="6">
        <f>SUMIF('Daftar LQ 45'!$C$5:$C$45,'2023 - 2019'!C7,'Daftar LQ 45'!$X$5:$X$45)</f>
        <v>88274</v>
      </c>
      <c r="AS7" s="6">
        <v>49644124</v>
      </c>
      <c r="AT7" s="6">
        <v>53586390</v>
      </c>
      <c r="AU7" s="6">
        <v>53318408</v>
      </c>
      <c r="AV7" s="6">
        <v>103864974</v>
      </c>
      <c r="AW7" s="33">
        <f t="shared" si="0"/>
        <v>10.414401793371768</v>
      </c>
      <c r="AX7" s="33">
        <f t="shared" si="1"/>
        <v>14.842323146231584</v>
      </c>
      <c r="AY7" s="33">
        <f t="shared" si="2"/>
        <v>18.902649322035824</v>
      </c>
      <c r="AZ7" s="33">
        <f t="shared" si="3"/>
        <v>12.089654139648424</v>
      </c>
      <c r="BA7" s="33">
        <f t="shared" si="4"/>
        <v>8.5924938482875071</v>
      </c>
      <c r="BB7" s="33">
        <f t="shared" si="5"/>
        <v>9.2070497726754859</v>
      </c>
      <c r="BC7" s="33">
        <f t="shared" si="6"/>
        <v>14.727239916282045</v>
      </c>
      <c r="BD7" s="33">
        <f t="shared" si="7"/>
        <v>15.454040696653676</v>
      </c>
      <c r="BE7" s="33">
        <f t="shared" si="8"/>
        <v>9.1265754209616858</v>
      </c>
      <c r="BF7" s="33">
        <f t="shared" si="9"/>
        <v>10.604656082869303</v>
      </c>
      <c r="BG7" s="33">
        <f t="shared" si="10"/>
        <v>9.2764546862280568</v>
      </c>
      <c r="BH7" s="33">
        <f t="shared" si="11"/>
        <v>11.294589324230618</v>
      </c>
      <c r="BI7" s="33">
        <f t="shared" si="12"/>
        <v>18.816999943863568</v>
      </c>
      <c r="BJ7" s="33">
        <f t="shared" si="13"/>
        <v>15.494014246798438</v>
      </c>
      <c r="BK7" s="33">
        <f t="shared" si="14"/>
        <v>13.129473064469998</v>
      </c>
      <c r="BL7" s="33">
        <f t="shared" si="15"/>
        <v>6.3111460642024735</v>
      </c>
      <c r="BM7" s="33">
        <f t="shared" si="16"/>
        <v>3.4829614116797707</v>
      </c>
      <c r="BN7" s="33">
        <f t="shared" si="17"/>
        <v>4.2101439571432993</v>
      </c>
      <c r="BO7" s="33">
        <f t="shared" si="18"/>
        <v>5.5520209074941045</v>
      </c>
      <c r="BP7" s="33">
        <f t="shared" si="19"/>
        <v>9.3893512289618375</v>
      </c>
    </row>
    <row r="8" spans="2:68" x14ac:dyDescent="0.2">
      <c r="B8" s="2">
        <v>4</v>
      </c>
      <c r="C8" s="2" t="s">
        <v>11</v>
      </c>
      <c r="D8" s="2" t="s">
        <v>12</v>
      </c>
      <c r="E8" s="2"/>
      <c r="F8" s="2"/>
      <c r="G8" s="2" t="s">
        <v>103</v>
      </c>
      <c r="H8" s="2" t="s">
        <v>103</v>
      </c>
      <c r="I8" s="6">
        <v>27107</v>
      </c>
      <c r="J8" s="6">
        <v>29774</v>
      </c>
      <c r="K8" s="11">
        <v>30119</v>
      </c>
      <c r="L8" s="11">
        <v>26373</v>
      </c>
      <c r="M8" s="6">
        <v>24565</v>
      </c>
      <c r="N8" s="6">
        <v>27049</v>
      </c>
      <c r="O8" s="11">
        <v>28633</v>
      </c>
      <c r="P8" s="11">
        <v>28995</v>
      </c>
      <c r="Q8" s="6">
        <v>20124</v>
      </c>
      <c r="R8" s="6">
        <v>22248</v>
      </c>
      <c r="S8" s="11">
        <v>23410</v>
      </c>
      <c r="T8" s="11">
        <v>23846</v>
      </c>
      <c r="U8" s="11">
        <v>22580</v>
      </c>
      <c r="V8" s="11">
        <v>18495</v>
      </c>
      <c r="W8" s="11">
        <v>17968</v>
      </c>
      <c r="X8" s="11">
        <v>18622</v>
      </c>
      <c r="Y8" s="11">
        <f>29259+1652</f>
        <v>30911</v>
      </c>
      <c r="Z8" s="11">
        <v>31074</v>
      </c>
      <c r="AA8" s="11">
        <f>31578+1552</f>
        <v>33130</v>
      </c>
      <c r="AB8" s="11">
        <v>30033</v>
      </c>
      <c r="AC8" s="6">
        <v>2050</v>
      </c>
      <c r="AD8" s="6">
        <v>2079</v>
      </c>
      <c r="AE8" s="11">
        <v>2093</v>
      </c>
      <c r="AF8" s="11">
        <v>1707</v>
      </c>
      <c r="AG8" s="6">
        <v>1969</v>
      </c>
      <c r="AH8" s="6">
        <v>1965</v>
      </c>
      <c r="AI8" s="11">
        <v>2189</v>
      </c>
      <c r="AJ8" s="11">
        <v>2037</v>
      </c>
      <c r="AK8" s="6">
        <v>1437</v>
      </c>
      <c r="AL8" s="6">
        <v>1472</v>
      </c>
      <c r="AM8" s="6">
        <v>1630</v>
      </c>
      <c r="AN8" s="6">
        <f>SUMIF('Daftar LQ 45'!$C$5:$C$45,'2023 - 2019'!C8,'Daftar LQ 45'!$W$5:$W$45)</f>
        <v>1960</v>
      </c>
      <c r="AO8" s="6">
        <v>542</v>
      </c>
      <c r="AP8" s="6">
        <v>510</v>
      </c>
      <c r="AQ8" s="6">
        <v>712</v>
      </c>
      <c r="AR8" s="6">
        <f>SUMIF('Daftar LQ 45'!$C$5:$C$45,'2023 - 2019'!C8,'Daftar LQ 45'!$X$5:$X$45)</f>
        <v>1478</v>
      </c>
      <c r="AS8" s="6">
        <v>723</v>
      </c>
      <c r="AT8" s="6">
        <v>705</v>
      </c>
      <c r="AU8" s="6">
        <v>551</v>
      </c>
      <c r="AV8" s="6">
        <v>487</v>
      </c>
      <c r="AW8" s="33">
        <f t="shared" si="0"/>
        <v>7.5626222009075148</v>
      </c>
      <c r="AX8" s="33">
        <f t="shared" si="1"/>
        <v>6.9826022704372939</v>
      </c>
      <c r="AY8" s="33">
        <f t="shared" si="2"/>
        <v>6.949101895813274</v>
      </c>
      <c r="AZ8" s="33">
        <f t="shared" si="3"/>
        <v>6.4725287225571613</v>
      </c>
      <c r="BA8" s="33">
        <f t="shared" si="4"/>
        <v>8.0154691634439246</v>
      </c>
      <c r="BB8" s="33">
        <f t="shared" si="5"/>
        <v>7.2645938851713554</v>
      </c>
      <c r="BC8" s="33">
        <f t="shared" si="6"/>
        <v>7.6450249711870919</v>
      </c>
      <c r="BD8" s="33">
        <f t="shared" si="7"/>
        <v>7.0253491981376097</v>
      </c>
      <c r="BE8" s="33">
        <f t="shared" si="8"/>
        <v>7.140727489564699</v>
      </c>
      <c r="BF8" s="33">
        <f t="shared" si="9"/>
        <v>6.6163250629270047</v>
      </c>
      <c r="BG8" s="33">
        <f t="shared" si="10"/>
        <v>6.9628363947031184</v>
      </c>
      <c r="BH8" s="33">
        <f t="shared" si="11"/>
        <v>8.2194078671475292</v>
      </c>
      <c r="BI8" s="33">
        <f t="shared" si="12"/>
        <v>2.4003542958370239</v>
      </c>
      <c r="BJ8" s="33">
        <f t="shared" si="13"/>
        <v>2.7575020275750202</v>
      </c>
      <c r="BK8" s="33">
        <f t="shared" si="14"/>
        <v>3.96260017809439</v>
      </c>
      <c r="BL8" s="33">
        <f t="shared" si="15"/>
        <v>7.9368488884115562</v>
      </c>
      <c r="BM8" s="33">
        <f t="shared" si="16"/>
        <v>2.3389731810682282</v>
      </c>
      <c r="BN8" s="33">
        <f t="shared" si="17"/>
        <v>2.2687777563236144</v>
      </c>
      <c r="BO8" s="33">
        <f t="shared" si="18"/>
        <v>1.6631451856323574</v>
      </c>
      <c r="BP8" s="33">
        <f t="shared" si="19"/>
        <v>1.6215496287417173</v>
      </c>
    </row>
    <row r="9" spans="2:68" x14ac:dyDescent="0.2">
      <c r="B9" s="2">
        <v>5</v>
      </c>
      <c r="C9" s="2" t="s">
        <v>13</v>
      </c>
      <c r="D9" s="2" t="s">
        <v>14</v>
      </c>
      <c r="E9" s="2"/>
      <c r="F9" s="2"/>
      <c r="G9" s="2" t="s">
        <v>103</v>
      </c>
      <c r="H9" s="2" t="s">
        <v>103</v>
      </c>
      <c r="I9" s="6">
        <f>'Breakdown Bank 2023-2019'!C18</f>
        <v>768042851</v>
      </c>
      <c r="J9" s="6">
        <f>'Breakdown Bank 2023-2019'!D18</f>
        <v>779100781</v>
      </c>
      <c r="K9" s="6">
        <f>'Breakdown Bank 2023-2019'!E18</f>
        <v>799213269</v>
      </c>
      <c r="L9" s="6">
        <f>'Breakdown Bank 2023-2019'!F18</f>
        <v>837386486</v>
      </c>
      <c r="M9" s="6">
        <f>'Breakdown Bank 2023-2019'!G18</f>
        <v>724560701</v>
      </c>
      <c r="N9" s="6">
        <f>'Breakdown Bank 2023-2019'!H18</f>
        <v>815084181</v>
      </c>
      <c r="O9" s="6">
        <f>'Breakdown Bank 2023-2019'!I18</f>
        <v>737115753</v>
      </c>
      <c r="P9" s="6">
        <f>'Breakdown Bank 2023-2019'!J18</f>
        <v>761115592</v>
      </c>
      <c r="Q9" s="6">
        <f>'Breakdown Bank 2023-2019'!K18</f>
        <v>646302384</v>
      </c>
      <c r="R9" s="6">
        <f>'Breakdown Bank 2023-2019'!L18</f>
        <v>701690784</v>
      </c>
      <c r="S9" s="6">
        <f>'Breakdown Bank 2023-2019'!M18</f>
        <v>716660745</v>
      </c>
      <c r="T9" s="11">
        <v>746904873</v>
      </c>
      <c r="U9" s="6">
        <f>'Breakdown Bank 2023-2019'!O18</f>
        <v>678418571</v>
      </c>
      <c r="V9" s="6">
        <f>'Breakdown Bank 2023-2019'!P18</f>
        <v>656154600</v>
      </c>
      <c r="W9" s="6">
        <f>'Breakdown Bank 2023-2019'!Q18</f>
        <v>647015193</v>
      </c>
      <c r="X9" s="11">
        <v>659083774</v>
      </c>
      <c r="Y9" s="6">
        <f>'Breakdown Bank 2023-2019'!S18</f>
        <v>599485971</v>
      </c>
      <c r="Z9" s="6">
        <f>'Breakdown Bank 2023-2019'!T18</f>
        <v>620551447</v>
      </c>
      <c r="AA9" s="6">
        <f>'Breakdown Bank 2023-2019'!U18</f>
        <v>642518531</v>
      </c>
      <c r="AB9" s="6">
        <f>'Breakdown Bank 2023-2019'!V18</f>
        <v>656996196</v>
      </c>
      <c r="AC9" s="6">
        <f>'Breakdown Bank 2023-2019'!W18</f>
        <v>35569228</v>
      </c>
      <c r="AD9" s="6">
        <f>'Breakdown Bank 2023-2019'!X18</f>
        <v>35387734</v>
      </c>
      <c r="AE9" s="6">
        <f>'Breakdown Bank 2023-2019'!Y18</f>
        <v>35155106</v>
      </c>
      <c r="AF9" s="6">
        <f>'Breakdown Bank 2023-2019'!Z18</f>
        <v>33926035</v>
      </c>
      <c r="AG9" s="6">
        <f>'Breakdown Bank 2023-2019'!AA18</f>
        <v>36004333</v>
      </c>
      <c r="AH9" s="6">
        <f>'Breakdown Bank 2023-2019'!AB18</f>
        <v>36850001</v>
      </c>
      <c r="AI9" s="6">
        <f>'Breakdown Bank 2023-2019'!AC18</f>
        <v>36583543</v>
      </c>
      <c r="AJ9" s="6">
        <f>'Breakdown Bank 2023-2019'!AD18</f>
        <v>34686545</v>
      </c>
      <c r="AK9" s="6">
        <f>'Breakdown Bank 2023-2019'!AE18</f>
        <v>31199224</v>
      </c>
      <c r="AL9" s="6">
        <f>'Breakdown Bank 2023-2019'!AF18</f>
        <v>33317388</v>
      </c>
      <c r="AM9" s="6">
        <f>'Breakdown Bank 2023-2019'!AG18</f>
        <v>33342393</v>
      </c>
      <c r="AN9" s="6">
        <f>'Breakdown Bank 2023-2019'!AH18</f>
        <v>33554598</v>
      </c>
      <c r="AO9" s="6">
        <f>'Breakdown Bank 2023-2019'!AI18</f>
        <v>22734425</v>
      </c>
      <c r="AP9" s="6">
        <f>'Breakdown Bank 2023-2019'!AJ18</f>
        <v>25867914</v>
      </c>
      <c r="AQ9" s="6">
        <f>'Breakdown Bank 2023-2019'!AK18</f>
        <v>27822105</v>
      </c>
      <c r="AR9" s="6">
        <f>'Breakdown Bank 2023-2019'!AL18</f>
        <v>28175019</v>
      </c>
      <c r="AS9" s="6">
        <f>'Breakdown Bank 2023-2019'!AM18</f>
        <v>14260956</v>
      </c>
      <c r="AT9" s="6">
        <f>'Breakdown Bank 2023-2019'!AN18</f>
        <v>15256818</v>
      </c>
      <c r="AU9" s="6">
        <f>'Breakdown Bank 2023-2019'!AO18</f>
        <v>15853321</v>
      </c>
      <c r="AV9" s="6">
        <f>'Breakdown Bank 2023-2019'!AP18</f>
        <v>15558037</v>
      </c>
      <c r="AW9" s="33">
        <f t="shared" si="0"/>
        <v>4.6311514980822341</v>
      </c>
      <c r="AX9" s="33">
        <f t="shared" si="1"/>
        <v>4.5421253402645485</v>
      </c>
      <c r="AY9" s="33">
        <f t="shared" si="2"/>
        <v>4.3987140058356564</v>
      </c>
      <c r="AZ9" s="33">
        <f t="shared" si="3"/>
        <v>4.0514189764462003</v>
      </c>
      <c r="BA9" s="33">
        <f t="shared" si="4"/>
        <v>4.9691258372568017</v>
      </c>
      <c r="BB9" s="33">
        <f t="shared" si="5"/>
        <v>4.5210055426164626</v>
      </c>
      <c r="BC9" s="33">
        <f t="shared" si="6"/>
        <v>4.9630662282155837</v>
      </c>
      <c r="BD9" s="33">
        <f t="shared" si="7"/>
        <v>4.5573294470099359</v>
      </c>
      <c r="BE9" s="33">
        <f t="shared" si="8"/>
        <v>4.8273416240407991</v>
      </c>
      <c r="BF9" s="33">
        <f t="shared" si="9"/>
        <v>4.7481581288660619</v>
      </c>
      <c r="BG9" s="33">
        <f t="shared" si="10"/>
        <v>4.6524653725801599</v>
      </c>
      <c r="BH9" s="33">
        <f t="shared" si="11"/>
        <v>4.4924861535881284</v>
      </c>
      <c r="BI9" s="33">
        <f t="shared" si="12"/>
        <v>3.351091195290997</v>
      </c>
      <c r="BJ9" s="33">
        <f t="shared" si="13"/>
        <v>3.9423504765492763</v>
      </c>
      <c r="BK9" s="33">
        <f t="shared" si="14"/>
        <v>4.3000698130437875</v>
      </c>
      <c r="BL9" s="33">
        <f t="shared" si="15"/>
        <v>4.2748767473070881</v>
      </c>
      <c r="BM9" s="33">
        <f t="shared" si="16"/>
        <v>2.3788640084790242</v>
      </c>
      <c r="BN9" s="33">
        <f t="shared" si="17"/>
        <v>2.4585903511719636</v>
      </c>
      <c r="BO9" s="33">
        <f t="shared" si="18"/>
        <v>2.4673717932035801</v>
      </c>
      <c r="BP9" s="33">
        <f t="shared" si="19"/>
        <v>2.368055872274792</v>
      </c>
    </row>
    <row r="10" spans="2:68" x14ac:dyDescent="0.2">
      <c r="B10" s="2">
        <v>6</v>
      </c>
      <c r="C10" s="2" t="s">
        <v>15</v>
      </c>
      <c r="D10" s="2" t="s">
        <v>16</v>
      </c>
      <c r="E10" s="2"/>
      <c r="F10" s="2"/>
      <c r="G10" s="2" t="s">
        <v>103</v>
      </c>
      <c r="H10" s="2" t="s">
        <v>103</v>
      </c>
      <c r="I10" s="6">
        <f>'Breakdown Bank 2023-2019'!C29</f>
        <v>766791328</v>
      </c>
      <c r="J10" s="6">
        <f>'Breakdown Bank 2023-2019'!D29</f>
        <v>780746351</v>
      </c>
      <c r="K10" s="6">
        <f>'Breakdown Bank 2023-2019'!E29</f>
        <v>753192363</v>
      </c>
      <c r="L10" s="6">
        <f>'Breakdown Bank 2023-2019'!F29</f>
        <v>810747732</v>
      </c>
      <c r="M10" s="6">
        <f>'Breakdown Bank 2023-2019'!G29</f>
        <v>712301410</v>
      </c>
      <c r="N10" s="6">
        <f>'Breakdown Bank 2023-2019'!H29</f>
        <v>734035067</v>
      </c>
      <c r="O10" s="6">
        <f>'Breakdown Bank 2023-2019'!I29</f>
        <v>715154054</v>
      </c>
      <c r="P10" s="6">
        <f>'Breakdown Bank 2023-2019'!J29</f>
        <v>754595888</v>
      </c>
      <c r="Q10" s="6">
        <f>'Breakdown Bank 2023-2019'!K29</f>
        <v>680683083</v>
      </c>
      <c r="R10" s="6">
        <f>'Breakdown Bank 2023-2019'!L29</f>
        <v>701356029</v>
      </c>
      <c r="S10" s="6">
        <f>'Breakdown Bank 2023-2019'!M29</f>
        <v>717688500</v>
      </c>
      <c r="T10" s="11">
        <v>798155579</v>
      </c>
      <c r="U10" s="6">
        <f>'Breakdown Bank 2023-2019'!O29</f>
        <v>682411425</v>
      </c>
      <c r="V10" s="6">
        <f>'Breakdown Bank 2023-2019'!P29</f>
        <v>675211805</v>
      </c>
      <c r="W10" s="6">
        <f>'Breakdown Bank 2023-2019'!Q29</f>
        <v>707481270</v>
      </c>
      <c r="X10" s="11">
        <v>747465208</v>
      </c>
      <c r="Y10" s="6">
        <f>'Breakdown Bank 2023-2019'!S29</f>
        <v>600543895</v>
      </c>
      <c r="Z10" s="6">
        <f>'Breakdown Bank 2023-2019'!T29</f>
        <v>650680783</v>
      </c>
      <c r="AA10" s="6">
        <f>'Breakdown Bank 2023-2019'!U29</f>
        <v>630943347</v>
      </c>
      <c r="AB10" s="6">
        <f>'Breakdown Bank 2023-2019'!V29</f>
        <v>657980509</v>
      </c>
      <c r="AC10" s="6">
        <f>'Breakdown Bank 2023-2019'!W29</f>
        <v>51111357</v>
      </c>
      <c r="AD10" s="6">
        <f>'Breakdown Bank 2023-2019'!X29</f>
        <v>49791378</v>
      </c>
      <c r="AE10" s="6">
        <f>'Breakdown Bank 2023-2019'!Y29</f>
        <v>49944440</v>
      </c>
      <c r="AF10" s="6">
        <f>'Breakdown Bank 2023-2019'!Z29</f>
        <v>47914218</v>
      </c>
      <c r="AG10" s="6">
        <f>'Breakdown Bank 2023-2019'!AA29</f>
        <v>52988032</v>
      </c>
      <c r="AH10" s="6">
        <f>'Breakdown Bank 2023-2019'!AB29</f>
        <v>53114309</v>
      </c>
      <c r="AI10" s="6">
        <f>'Breakdown Bank 2023-2019'!AC29</f>
        <v>53172714</v>
      </c>
      <c r="AJ10" s="6">
        <f>'Breakdown Bank 2023-2019'!AD29</f>
        <v>51609316</v>
      </c>
      <c r="AK10" s="6">
        <f>'Breakdown Bank 2023-2019'!AE29</f>
        <v>47257597</v>
      </c>
      <c r="AL10" s="6">
        <f>'Breakdown Bank 2023-2019'!AF29</f>
        <v>49571479</v>
      </c>
      <c r="AM10" s="6">
        <f>'Breakdown Bank 2023-2019'!AG29</f>
        <v>51103476</v>
      </c>
      <c r="AN10" s="6">
        <f>'Breakdown Bank 2023-2019'!AH29</f>
        <v>51712293</v>
      </c>
      <c r="AO10" s="6">
        <f>'Breakdown Bank 2023-2019'!AI29</f>
        <v>33954347</v>
      </c>
      <c r="AP10" s="6">
        <f>'Breakdown Bank 2023-2019'!AJ29</f>
        <v>37349021</v>
      </c>
      <c r="AQ10" s="6">
        <f>'Breakdown Bank 2023-2019'!AK29</f>
        <v>42499461</v>
      </c>
      <c r="AR10" s="6">
        <f>'Breakdown Bank 2023-2019'!AL29</f>
        <v>45556512</v>
      </c>
      <c r="AS10" s="6">
        <f>'Breakdown Bank 2023-2019'!AM29</f>
        <v>15306856</v>
      </c>
      <c r="AT10" s="6">
        <f>'Breakdown Bank 2023-2019'!AN29</f>
        <v>15295175</v>
      </c>
      <c r="AU10" s="6">
        <f>'Breakdown Bank 2023-2019'!AO29</f>
        <v>16320628</v>
      </c>
      <c r="AV10" s="6">
        <f>'Breakdown Bank 2023-2019'!AP29</f>
        <v>17612952</v>
      </c>
      <c r="AW10" s="33">
        <f t="shared" si="0"/>
        <v>6.665614898555555</v>
      </c>
      <c r="AX10" s="33">
        <f t="shared" si="1"/>
        <v>6.3774077120214416</v>
      </c>
      <c r="AY10" s="33">
        <f t="shared" si="2"/>
        <v>6.631033777489324</v>
      </c>
      <c r="AZ10" s="33">
        <f t="shared" si="3"/>
        <v>5.909879992115723</v>
      </c>
      <c r="BA10" s="33">
        <f t="shared" si="4"/>
        <v>7.4389901881564438</v>
      </c>
      <c r="BB10" s="33">
        <f t="shared" si="5"/>
        <v>7.2359361817791736</v>
      </c>
      <c r="BC10" s="33">
        <f t="shared" si="6"/>
        <v>7.4351412402117205</v>
      </c>
      <c r="BD10" s="33">
        <f t="shared" si="7"/>
        <v>6.8393317298331215</v>
      </c>
      <c r="BE10" s="33">
        <f t="shared" si="8"/>
        <v>6.9426724683269381</v>
      </c>
      <c r="BF10" s="33">
        <f t="shared" si="9"/>
        <v>7.0679479394622842</v>
      </c>
      <c r="BG10" s="33">
        <f t="shared" si="10"/>
        <v>7.1205649804894469</v>
      </c>
      <c r="BH10" s="33">
        <f t="shared" si="11"/>
        <v>6.478974069790973</v>
      </c>
      <c r="BI10" s="33">
        <f t="shared" si="12"/>
        <v>4.9756416373011341</v>
      </c>
      <c r="BJ10" s="33">
        <f t="shared" si="13"/>
        <v>5.531452608415222</v>
      </c>
      <c r="BK10" s="33">
        <f t="shared" si="14"/>
        <v>6.0071499843381009</v>
      </c>
      <c r="BL10" s="33">
        <f t="shared" si="15"/>
        <v>6.0948003348404685</v>
      </c>
      <c r="BM10" s="33">
        <f t="shared" si="16"/>
        <v>2.5488321715434306</v>
      </c>
      <c r="BN10" s="33">
        <f t="shared" si="17"/>
        <v>2.3506418814892216</v>
      </c>
      <c r="BO10" s="33">
        <f t="shared" si="18"/>
        <v>2.5867026061216238</v>
      </c>
      <c r="BP10" s="33">
        <f t="shared" si="19"/>
        <v>2.6768197171627768</v>
      </c>
    </row>
    <row r="11" spans="2:68" x14ac:dyDescent="0.2">
      <c r="B11" s="2">
        <v>7</v>
      </c>
      <c r="C11" s="2" t="s">
        <v>17</v>
      </c>
      <c r="D11" s="2" t="s">
        <v>18</v>
      </c>
      <c r="E11" s="2"/>
      <c r="F11" s="2"/>
      <c r="G11" s="2" t="s">
        <v>103</v>
      </c>
      <c r="H11" s="2" t="s">
        <v>103</v>
      </c>
      <c r="I11" s="6">
        <f>'Breakdown Bank 2023-2019'!C42</f>
        <v>1309075741</v>
      </c>
      <c r="J11" s="6">
        <f>'Breakdown Bank 2023-2019'!D42</f>
        <v>1314664194</v>
      </c>
      <c r="K11" s="6">
        <f>'Breakdown Bank 2023-2019'!E42</f>
        <v>1357847285</v>
      </c>
      <c r="L11" s="6">
        <f>'Breakdown Bank 2023-2019'!F42</f>
        <v>1418099238</v>
      </c>
      <c r="M11" s="6">
        <f>'Breakdown Bank 2023-2019'!G42</f>
        <v>1195182835</v>
      </c>
      <c r="N11" s="6">
        <f>'Breakdown Bank 2023-2019'!H42</f>
        <v>1222064397</v>
      </c>
      <c r="O11" s="6">
        <f>'Breakdown Bank 2023-2019'!I42</f>
        <v>1220458704</v>
      </c>
      <c r="P11" s="6">
        <f>'Breakdown Bank 2023-2019'!J42</f>
        <v>1277202375</v>
      </c>
      <c r="Q11" s="6">
        <f>'Breakdown Bank 2023-2019'!K42</f>
        <v>1034955204</v>
      </c>
      <c r="R11" s="6">
        <f>'Breakdown Bank 2023-2019'!L42</f>
        <v>1116462359</v>
      </c>
      <c r="S11" s="6">
        <f>'Breakdown Bank 2023-2019'!M42</f>
        <v>1160250098</v>
      </c>
      <c r="T11" s="6">
        <f>'Breakdown Bank 2023-2019'!N42</f>
        <v>1155133855</v>
      </c>
      <c r="U11" s="6">
        <f>'Breakdown Bank 2023-2019'!O42</f>
        <v>1044837950</v>
      </c>
      <c r="V11" s="6">
        <f>'Breakdown Bank 2023-2019'!P42</f>
        <v>1038979804</v>
      </c>
      <c r="W11" s="6">
        <f>'Breakdown Bank 2023-2019'!Q42</f>
        <v>1066565587</v>
      </c>
      <c r="X11" s="6">
        <f>'Breakdown Bank 2023-2019'!R42</f>
        <v>1052077607</v>
      </c>
      <c r="Y11" s="6">
        <f>'Breakdown Bank 2023-2019'!S42</f>
        <v>978848619</v>
      </c>
      <c r="Z11" s="6">
        <f>'Breakdown Bank 2023-2019'!T42</f>
        <v>977857890</v>
      </c>
      <c r="AA11" s="6">
        <f>'Breakdown Bank 2023-2019'!U42</f>
        <v>1012591001</v>
      </c>
      <c r="AB11" s="6">
        <f>'Breakdown Bank 2023-2019'!V42</f>
        <v>1078145011</v>
      </c>
      <c r="AC11" s="6">
        <f>'Breakdown Bank 2023-2019'!W42</f>
        <v>97132858</v>
      </c>
      <c r="AD11" s="6">
        <f>'Breakdown Bank 2023-2019'!X42</f>
        <v>90785275</v>
      </c>
      <c r="AE11" s="6">
        <f>'Breakdown Bank 2023-2019'!Y42</f>
        <v>91091243</v>
      </c>
      <c r="AF11" s="6">
        <f>'Breakdown Bank 2023-2019'!Z42</f>
        <v>88087346</v>
      </c>
      <c r="AG11" s="6">
        <f>'Breakdown Bank 2023-2019'!AA42</f>
        <v>93710756</v>
      </c>
      <c r="AH11" s="6">
        <f>'Breakdown Bank 2023-2019'!AB42</f>
        <v>97514645</v>
      </c>
      <c r="AI11" s="6">
        <f>'Breakdown Bank 2023-2019'!AC42</f>
        <v>97887841</v>
      </c>
      <c r="AJ11" s="6">
        <f>'Breakdown Bank 2023-2019'!AD42</f>
        <v>94884004</v>
      </c>
      <c r="AK11" s="6">
        <f>'Breakdown Bank 2023-2019'!AE42</f>
        <v>74158841</v>
      </c>
      <c r="AL11" s="6">
        <f>'Breakdown Bank 2023-2019'!AF42</f>
        <v>81392387</v>
      </c>
      <c r="AM11" s="6">
        <f>'Breakdown Bank 2023-2019'!AG42</f>
        <v>86848268</v>
      </c>
      <c r="AN11" s="6">
        <f>'Breakdown Bank 2023-2019'!AH42</f>
        <v>89495254</v>
      </c>
      <c r="AO11" s="6">
        <f>'Breakdown Bank 2023-2019'!AI42</f>
        <v>60860229</v>
      </c>
      <c r="AP11" s="6">
        <f>'Breakdown Bank 2023-2019'!AJ42</f>
        <v>57227764</v>
      </c>
      <c r="AQ11" s="6">
        <f>'Breakdown Bank 2023-2019'!AK42</f>
        <v>62226217</v>
      </c>
      <c r="AR11" s="6">
        <f>'Breakdown Bank 2023-2019'!AL42</f>
        <v>68811914</v>
      </c>
      <c r="AS11" s="6">
        <f>'Breakdown Bank 2023-2019'!AM42</f>
        <v>37651248</v>
      </c>
      <c r="AT11" s="6">
        <f>'Breakdown Bank 2023-2019'!AN42</f>
        <v>39263293</v>
      </c>
      <c r="AU11" s="6">
        <f>'Breakdown Bank 2023-2019'!AO42</f>
        <v>41635950</v>
      </c>
      <c r="AV11" s="6">
        <f>'Breakdown Bank 2023-2019'!AP42</f>
        <v>39328610</v>
      </c>
      <c r="AW11" s="33">
        <f t="shared" si="0"/>
        <v>7.4199570703067517</v>
      </c>
      <c r="AX11" s="33">
        <f t="shared" si="1"/>
        <v>6.9055866444324874</v>
      </c>
      <c r="AY11" s="33">
        <f t="shared" si="2"/>
        <v>6.7085042630548832</v>
      </c>
      <c r="AZ11" s="33">
        <f t="shared" si="3"/>
        <v>6.211648919876227</v>
      </c>
      <c r="BA11" s="33">
        <f t="shared" si="4"/>
        <v>7.8407046399725111</v>
      </c>
      <c r="BB11" s="33">
        <f t="shared" si="5"/>
        <v>7.9795013453779555</v>
      </c>
      <c r="BC11" s="33">
        <f t="shared" si="6"/>
        <v>8.0205778924904951</v>
      </c>
      <c r="BD11" s="33">
        <f t="shared" si="7"/>
        <v>7.4290500751691759</v>
      </c>
      <c r="BE11" s="33">
        <f t="shared" si="8"/>
        <v>7.1654155381202376</v>
      </c>
      <c r="BF11" s="33">
        <f t="shared" si="9"/>
        <v>7.2902043086255084</v>
      </c>
      <c r="BG11" s="33">
        <f t="shared" si="10"/>
        <v>7.4853058103340055</v>
      </c>
      <c r="BH11" s="33">
        <f t="shared" si="11"/>
        <v>7.7476089556737984</v>
      </c>
      <c r="BI11" s="33">
        <f t="shared" si="12"/>
        <v>5.82484862844042</v>
      </c>
      <c r="BJ11" s="33">
        <f t="shared" si="13"/>
        <v>5.5080728017693019</v>
      </c>
      <c r="BK11" s="33">
        <f t="shared" si="14"/>
        <v>5.8342607110574249</v>
      </c>
      <c r="BL11" s="33">
        <f t="shared" si="15"/>
        <v>6.5405739597687305</v>
      </c>
      <c r="BM11" s="33">
        <f t="shared" si="16"/>
        <v>3.8464832323577092</v>
      </c>
      <c r="BN11" s="33">
        <f t="shared" si="17"/>
        <v>4.0152350767451495</v>
      </c>
      <c r="BO11" s="33">
        <f t="shared" si="18"/>
        <v>4.1118230320911175</v>
      </c>
      <c r="BP11" s="33">
        <f t="shared" si="19"/>
        <v>3.6478033658498283</v>
      </c>
    </row>
    <row r="12" spans="2:68" x14ac:dyDescent="0.2">
      <c r="B12" s="2">
        <v>8</v>
      </c>
      <c r="C12" s="2" t="s">
        <v>19</v>
      </c>
      <c r="D12" s="2" t="s">
        <v>20</v>
      </c>
      <c r="E12" s="2"/>
      <c r="F12" s="2"/>
      <c r="G12" s="2" t="s">
        <v>103</v>
      </c>
      <c r="H12" s="2" t="s">
        <v>103</v>
      </c>
      <c r="I12" s="6">
        <f>'Breakdown Bank 2023-2019'!C49</f>
        <v>269433826</v>
      </c>
      <c r="J12" s="6">
        <f>'Breakdown Bank 2023-2019'!D49</f>
        <v>277542690</v>
      </c>
      <c r="K12" s="6">
        <f>'Breakdown Bank 2023-2019'!E49</f>
        <v>286036399</v>
      </c>
      <c r="L12" s="6">
        <f>'Breakdown Bank 2023-2019'!F49</f>
        <v>299331825</v>
      </c>
      <c r="M12" s="6">
        <f>'Breakdown Bank 2023-2019'!G49</f>
        <v>251333051</v>
      </c>
      <c r="N12" s="6">
        <f>'Breakdown Bank 2023-2019'!H49</f>
        <v>259926184</v>
      </c>
      <c r="O12" s="6">
        <f>'Breakdown Bank 2023-2019'!I49</f>
        <v>261301916</v>
      </c>
      <c r="P12" s="6">
        <f>'Breakdown Bank 2023-2019'!J49</f>
        <v>268550384</v>
      </c>
      <c r="Q12" s="6">
        <f>'Breakdown Bank 2023-2019'!K49</f>
        <v>268610981</v>
      </c>
      <c r="R12" s="6">
        <f>'Breakdown Bank 2023-2019'!L49</f>
        <v>272572425</v>
      </c>
      <c r="S12" s="6">
        <f>'Breakdown Bank 2023-2019'!M49</f>
        <v>273481175</v>
      </c>
      <c r="T12" s="6">
        <f>'Breakdown Bank 2023-2019'!N49</f>
        <v>248836371</v>
      </c>
      <c r="U12" s="6">
        <f>'Breakdown Bank 2023-2019'!O49</f>
        <v>255120506</v>
      </c>
      <c r="V12" s="6">
        <f>'Breakdown Bank 2023-2019'!P49</f>
        <v>254453736</v>
      </c>
      <c r="W12" s="6">
        <f>'Breakdown Bank 2023-2019'!Q49</f>
        <v>257418619</v>
      </c>
      <c r="X12" s="6">
        <f>'Breakdown Bank 2023-2019'!R49</f>
        <v>263527363</v>
      </c>
      <c r="Y12" s="6">
        <f>'Breakdown Bank 2023-2019'!S49</f>
        <v>243361726</v>
      </c>
      <c r="Z12" s="6">
        <f>'Breakdown Bank 2023-2019'!T49</f>
        <v>254703687</v>
      </c>
      <c r="AA12" s="6">
        <f>'Breakdown Bank 2023-2019'!U49</f>
        <v>258557836</v>
      </c>
      <c r="AB12" s="6">
        <f>'Breakdown Bank 2023-2019'!V49</f>
        <v>257061712</v>
      </c>
      <c r="AC12" s="6">
        <f>'Breakdown Bank 2023-2019'!W49</f>
        <v>13757270</v>
      </c>
      <c r="AD12" s="6">
        <f>'Breakdown Bank 2023-2019'!X49</f>
        <v>13908994</v>
      </c>
      <c r="AE12" s="6">
        <f>'Breakdown Bank 2023-2019'!Y49</f>
        <v>14428973</v>
      </c>
      <c r="AF12" s="6">
        <f>'Breakdown Bank 2023-2019'!Z49</f>
        <v>14217216</v>
      </c>
      <c r="AG12" s="6">
        <f>'Breakdown Bank 2023-2019'!AA49</f>
        <v>13280969</v>
      </c>
      <c r="AH12" s="6">
        <f>'Breakdown Bank 2023-2019'!AB49</f>
        <v>13773449</v>
      </c>
      <c r="AI12" s="6">
        <f>'Breakdown Bank 2023-2019'!AC49</f>
        <v>13585529</v>
      </c>
      <c r="AJ12" s="6">
        <f>'Breakdown Bank 2023-2019'!AD49</f>
        <v>14106797</v>
      </c>
      <c r="AK12" s="6">
        <f>'Breakdown Bank 2023-2019'!AE49</f>
        <v>12882161</v>
      </c>
      <c r="AL12" s="6">
        <f>'Breakdown Bank 2023-2019'!AF49</f>
        <v>13174088</v>
      </c>
      <c r="AM12" s="6">
        <f>'Breakdown Bank 2023-2019'!AG49</f>
        <v>13351319</v>
      </c>
      <c r="AN12" s="6">
        <f>'Breakdown Bank 2023-2019'!AH49</f>
        <v>13168218</v>
      </c>
      <c r="AO12" s="6">
        <f>'Breakdown Bank 2023-2019'!AI49</f>
        <v>13142460</v>
      </c>
      <c r="AP12" s="6">
        <f>'Breakdown Bank 2023-2019'!AJ49</f>
        <v>12800427</v>
      </c>
      <c r="AQ12" s="6">
        <f>'Breakdown Bank 2023-2019'!AK49</f>
        <v>12948273</v>
      </c>
      <c r="AR12" s="6">
        <f>'Breakdown Bank 2023-2019'!AL49</f>
        <v>13064144</v>
      </c>
      <c r="AS12" s="6">
        <f>'Breakdown Bank 2023-2019'!AM49</f>
        <v>3186812</v>
      </c>
      <c r="AT12" s="6">
        <f>'Breakdown Bank 2023-2019'!AN49</f>
        <v>3154299</v>
      </c>
      <c r="AU12" s="6">
        <f>'Breakdown Bank 2023-2019'!AO49</f>
        <v>4795619</v>
      </c>
      <c r="AV12" s="6">
        <f>'Breakdown Bank 2023-2019'!AP49</f>
        <v>6117798</v>
      </c>
      <c r="AW12" s="33">
        <f t="shared" si="0"/>
        <v>5.1059921481425272</v>
      </c>
      <c r="AX12" s="33">
        <f t="shared" si="1"/>
        <v>5.0114791349755956</v>
      </c>
      <c r="AY12" s="33">
        <f t="shared" si="2"/>
        <v>5.0444534508351158</v>
      </c>
      <c r="AZ12" s="33">
        <f t="shared" si="3"/>
        <v>4.749650659431218</v>
      </c>
      <c r="BA12" s="33">
        <f t="shared" si="4"/>
        <v>5.2842111083909931</v>
      </c>
      <c r="BB12" s="33">
        <f t="shared" si="5"/>
        <v>5.2989848071635599</v>
      </c>
      <c r="BC12" s="33">
        <f t="shared" si="6"/>
        <v>5.1991693011543019</v>
      </c>
      <c r="BD12" s="33">
        <f t="shared" si="7"/>
        <v>5.2529424050274303</v>
      </c>
      <c r="BE12" s="33">
        <f t="shared" si="8"/>
        <v>4.7958430262387521</v>
      </c>
      <c r="BF12" s="33">
        <f t="shared" si="9"/>
        <v>4.8332431279503059</v>
      </c>
      <c r="BG12" s="33">
        <f t="shared" si="10"/>
        <v>4.8819883123582457</v>
      </c>
      <c r="BH12" s="33">
        <f t="shared" si="11"/>
        <v>5.2919185194193332</v>
      </c>
      <c r="BI12" s="33">
        <f t="shared" si="12"/>
        <v>5.1514714383641111</v>
      </c>
      <c r="BJ12" s="33">
        <f t="shared" si="13"/>
        <v>5.0305518013695032</v>
      </c>
      <c r="BK12" s="33">
        <f t="shared" si="14"/>
        <v>5.0300452431531379</v>
      </c>
      <c r="BL12" s="33">
        <f t="shared" si="15"/>
        <v>4.9574146120074829</v>
      </c>
      <c r="BM12" s="33">
        <f t="shared" si="16"/>
        <v>1.3094959722631159</v>
      </c>
      <c r="BN12" s="33">
        <f t="shared" si="17"/>
        <v>1.2384190575144678</v>
      </c>
      <c r="BO12" s="33">
        <f t="shared" si="18"/>
        <v>1.854756782540522</v>
      </c>
      <c r="BP12" s="33">
        <f t="shared" si="19"/>
        <v>2.3798946768081897</v>
      </c>
    </row>
    <row r="13" spans="2:68" x14ac:dyDescent="0.2">
      <c r="B13" s="2">
        <v>9</v>
      </c>
      <c r="C13" s="2" t="s">
        <v>21</v>
      </c>
      <c r="D13" s="2" t="s">
        <v>22</v>
      </c>
      <c r="E13" s="2"/>
      <c r="F13" s="2"/>
      <c r="G13" s="2" t="s">
        <v>103</v>
      </c>
      <c r="H13" s="2" t="s">
        <v>103</v>
      </c>
      <c r="I13" s="6">
        <f>'Breakdown Bank 2023-2019'!C59</f>
        <v>1317496591</v>
      </c>
      <c r="J13" s="6">
        <f>'Breakdown Bank 2023-2019'!D59</f>
        <v>1383154960</v>
      </c>
      <c r="K13" s="6">
        <f>'Breakdown Bank 2023-2019'!E59</f>
        <v>1435750598</v>
      </c>
      <c r="L13" s="6">
        <f>'Breakdown Bank 2023-2019'!F59</f>
        <v>1543914679</v>
      </c>
      <c r="M13" s="6">
        <f>'Breakdown Bank 2023-2019'!G59</f>
        <v>1182208282</v>
      </c>
      <c r="N13" s="6">
        <f>'Breakdown Bank 2023-2019'!H59</f>
        <v>1236246111</v>
      </c>
      <c r="O13" s="6">
        <f>'Breakdown Bank 2023-2019'!I59</f>
        <v>1290373950</v>
      </c>
      <c r="P13" s="6">
        <f>'Breakdown Bank 2023-2019'!J59</f>
        <v>1385066551</v>
      </c>
      <c r="Q13" s="6">
        <f>'Breakdown Bank 2023-2019'!K59</f>
        <v>1157417092</v>
      </c>
      <c r="R13" s="6">
        <f>'Breakdown Bank 2023-2019'!L59</f>
        <v>1167137546</v>
      </c>
      <c r="S13" s="6">
        <f>'Breakdown Bank 2023-2019'!M59</f>
        <v>1157942266</v>
      </c>
      <c r="T13" s="6">
        <f>'Breakdown Bank 2023-2019'!N59</f>
        <v>1158131713</v>
      </c>
      <c r="U13" s="6">
        <f>'Breakdown Bank 2023-2019'!O59</f>
        <v>1021763781</v>
      </c>
      <c r="V13" s="6">
        <f>'Breakdown Bank 2023-2019'!P59</f>
        <v>1036698530</v>
      </c>
      <c r="W13" s="6">
        <f>'Breakdown Bank 2023-2019'!Q59</f>
        <v>1050572436</v>
      </c>
      <c r="X13" s="6">
        <f>'Breakdown Bank 2023-2019'!R59</f>
        <v>1110316505</v>
      </c>
      <c r="Y13" s="6">
        <f>'Breakdown Bank 2023-2019'!S59</f>
        <v>883625020</v>
      </c>
      <c r="Z13" s="6">
        <f>'Breakdown Bank 2023-2019'!T59</f>
        <v>926744584</v>
      </c>
      <c r="AA13" s="6">
        <f>'Breakdown Bank 2023-2019'!U59</f>
        <v>956871380</v>
      </c>
      <c r="AB13" s="6">
        <f>'Breakdown Bank 2023-2019'!V59</f>
        <v>995276409</v>
      </c>
      <c r="AC13" s="6">
        <f>'Breakdown Bank 2023-2019'!W59</f>
        <v>65779022</v>
      </c>
      <c r="AD13" s="6">
        <f>'Breakdown Bank 2023-2019'!X59</f>
        <v>65222767</v>
      </c>
      <c r="AE13" s="6">
        <f>'Breakdown Bank 2023-2019'!Y59</f>
        <v>60789099</v>
      </c>
      <c r="AF13" s="6">
        <f>'Breakdown Bank 2023-2019'!Z59</f>
        <v>55461690</v>
      </c>
      <c r="AG13" s="6">
        <f>'Breakdown Bank 2023-2019'!AA59</f>
        <v>71609266</v>
      </c>
      <c r="AH13" s="6">
        <f>'Breakdown Bank 2023-2019'!AB59</f>
        <v>70942533</v>
      </c>
      <c r="AI13" s="6">
        <f>'Breakdown Bank 2023-2019'!AC59</f>
        <v>71162253</v>
      </c>
      <c r="AJ13" s="6">
        <f>'Breakdown Bank 2023-2019'!AD59</f>
        <v>66913560</v>
      </c>
      <c r="AK13" s="6">
        <f>'Breakdown Bank 2023-2019'!AE59</f>
        <v>69344496</v>
      </c>
      <c r="AL13" s="6">
        <f>'Breakdown Bank 2023-2019'!AF59</f>
        <v>70126953</v>
      </c>
      <c r="AM13" s="6">
        <f>'Breakdown Bank 2023-2019'!AG59</f>
        <v>70546873</v>
      </c>
      <c r="AN13" s="6">
        <f>'Breakdown Bank 2023-2019'!AH59</f>
        <v>70766827</v>
      </c>
      <c r="AO13" s="6">
        <f>'Breakdown Bank 2023-2019'!AI59</f>
        <v>56081976</v>
      </c>
      <c r="AP13" s="6">
        <f>'Breakdown Bank 2023-2019'!AJ59</f>
        <v>57398007</v>
      </c>
      <c r="AQ13" s="6">
        <f>'Breakdown Bank 2023-2019'!AK59</f>
        <v>60978337</v>
      </c>
      <c r="AR13" s="6">
        <f>'Breakdown Bank 2023-2019'!AL59</f>
        <v>67380236</v>
      </c>
      <c r="AS13" s="6">
        <f>'Breakdown Bank 2023-2019'!AM59</f>
        <v>5379119</v>
      </c>
      <c r="AT13" s="6">
        <f>'Breakdown Bank 2023-2019'!AN59</f>
        <v>33426951</v>
      </c>
      <c r="AU13" s="6">
        <f>'Breakdown Bank 2023-2019'!AO59</f>
        <v>34414432</v>
      </c>
      <c r="AV13" s="6">
        <f>'Breakdown Bank 2023-2019'!AP59</f>
        <v>31929274</v>
      </c>
      <c r="AW13" s="33">
        <f t="shared" si="0"/>
        <v>4.9927280608804248</v>
      </c>
      <c r="AX13" s="33">
        <f t="shared" si="1"/>
        <v>4.715506858320488</v>
      </c>
      <c r="AY13" s="33">
        <f t="shared" si="2"/>
        <v>4.2339595111211645</v>
      </c>
      <c r="AZ13" s="33">
        <f t="shared" si="3"/>
        <v>3.5922768760721131</v>
      </c>
      <c r="BA13" s="33">
        <f t="shared" si="4"/>
        <v>6.0572461799079154</v>
      </c>
      <c r="BB13" s="33">
        <f t="shared" si="5"/>
        <v>5.7385444830734027</v>
      </c>
      <c r="BC13" s="33">
        <f t="shared" si="6"/>
        <v>5.5148550542267225</v>
      </c>
      <c r="BD13" s="33">
        <f t="shared" si="7"/>
        <v>4.8310718320133628</v>
      </c>
      <c r="BE13" s="33">
        <f t="shared" si="8"/>
        <v>5.9913143221493055</v>
      </c>
      <c r="BF13" s="33">
        <f t="shared" si="9"/>
        <v>6.00845660739287</v>
      </c>
      <c r="BG13" s="33">
        <f t="shared" si="10"/>
        <v>6.0924344046700512</v>
      </c>
      <c r="BH13" s="33">
        <f t="shared" si="11"/>
        <v>6.1104299455445448</v>
      </c>
      <c r="BI13" s="33">
        <f t="shared" si="12"/>
        <v>5.4887418249561151</v>
      </c>
      <c r="BJ13" s="33">
        <f t="shared" si="13"/>
        <v>5.5366150659054183</v>
      </c>
      <c r="BK13" s="33">
        <f t="shared" si="14"/>
        <v>5.804296296995175</v>
      </c>
      <c r="BL13" s="33">
        <f t="shared" si="15"/>
        <v>6.0685611441937448</v>
      </c>
      <c r="BM13" s="33">
        <f t="shared" si="16"/>
        <v>0.60875584985133169</v>
      </c>
      <c r="BN13" s="33">
        <f t="shared" si="17"/>
        <v>3.6069216456300324</v>
      </c>
      <c r="BO13" s="33">
        <f t="shared" si="18"/>
        <v>3.5965577735222887</v>
      </c>
      <c r="BP13" s="33">
        <f t="shared" si="19"/>
        <v>3.2080810628356811</v>
      </c>
    </row>
    <row r="14" spans="2:68" x14ac:dyDescent="0.2">
      <c r="B14" s="2">
        <v>10</v>
      </c>
      <c r="C14" s="2" t="s">
        <v>25</v>
      </c>
      <c r="D14" s="2" t="s">
        <v>26</v>
      </c>
      <c r="E14" s="2"/>
      <c r="F14" s="2"/>
      <c r="G14" s="2" t="s">
        <v>103</v>
      </c>
      <c r="H14" s="2" t="s">
        <v>103</v>
      </c>
      <c r="I14" s="6">
        <v>166990709789</v>
      </c>
      <c r="J14" s="6">
        <v>217831279861</v>
      </c>
      <c r="K14" s="11">
        <v>236013204592</v>
      </c>
      <c r="L14" s="11">
        <v>256597577069</v>
      </c>
      <c r="M14" s="48">
        <v>147728749979</v>
      </c>
      <c r="N14" s="6">
        <v>148944080104</v>
      </c>
      <c r="O14" s="6">
        <v>163811487513</v>
      </c>
      <c r="P14" s="11">
        <v>181059809362</v>
      </c>
      <c r="Q14" s="6">
        <f>3599852786+113492822018</f>
        <v>117092674804</v>
      </c>
      <c r="R14" s="6">
        <v>129497290555</v>
      </c>
      <c r="S14" s="11">
        <v>139597783811</v>
      </c>
      <c r="T14" s="11">
        <f>2678627532+138403149000</f>
        <v>141081776532</v>
      </c>
      <c r="U14" s="11">
        <f>125167003895+AO14</f>
        <v>126905394299</v>
      </c>
      <c r="V14" s="11">
        <f>162671359933+AP14</f>
        <v>164409750337</v>
      </c>
      <c r="W14" s="11">
        <f>129650353638+AQ14</f>
        <v>131388744042</v>
      </c>
      <c r="X14" s="11">
        <f>5553231327+138846551277</f>
        <v>144399782604</v>
      </c>
      <c r="Y14" s="11">
        <f>253753687571+AS14</f>
        <v>255492077975</v>
      </c>
      <c r="Z14" s="11">
        <f>234581533952+AT14</f>
        <v>236319924356</v>
      </c>
      <c r="AA14" s="11">
        <f>201529563121+AU14</f>
        <v>203267953525</v>
      </c>
      <c r="AB14" s="11">
        <f>180936200292+AV14</f>
        <v>182674590696</v>
      </c>
      <c r="AC14" s="6">
        <v>6120710994</v>
      </c>
      <c r="AD14" s="6">
        <v>6154796619</v>
      </c>
      <c r="AE14" s="11">
        <v>6023284495</v>
      </c>
      <c r="AF14" s="11">
        <v>4739196828</v>
      </c>
      <c r="AG14" s="6">
        <v>6069772435</v>
      </c>
      <c r="AH14" s="6">
        <v>6324909569</v>
      </c>
      <c r="AI14" s="11">
        <v>5786722864</v>
      </c>
      <c r="AJ14" s="11">
        <v>7270217612</v>
      </c>
      <c r="AK14" s="6">
        <v>5044991047</v>
      </c>
      <c r="AL14" s="6">
        <v>5778946221</v>
      </c>
      <c r="AM14" s="6">
        <v>6293831517</v>
      </c>
      <c r="AN14" s="6">
        <f>SUMIF('Daftar LQ 45'!$C$5:$C$45,'2023 - 2019'!C14,'Daftar LQ 45'!$W$5:$W$45)</f>
        <v>6207252806</v>
      </c>
      <c r="AO14" s="6">
        <v>1738390404</v>
      </c>
      <c r="AP14" s="6">
        <v>1738390404</v>
      </c>
      <c r="AQ14" s="6">
        <v>1738390404</v>
      </c>
      <c r="AR14" s="6">
        <f>SUMIF('Daftar LQ 45'!$C$5:$C$45,'2023 - 2019'!C14,'Daftar LQ 45'!$X$5:$X$45)</f>
        <v>5512471519</v>
      </c>
      <c r="AS14" s="6">
        <v>1738390404</v>
      </c>
      <c r="AT14" s="6">
        <v>1738390404</v>
      </c>
      <c r="AU14" s="6">
        <v>1738390404</v>
      </c>
      <c r="AV14" s="6">
        <v>1738390404</v>
      </c>
      <c r="AW14" s="33">
        <f t="shared" si="0"/>
        <v>3.6653003042706889</v>
      </c>
      <c r="AX14" s="33">
        <f t="shared" si="1"/>
        <v>2.8254879753391839</v>
      </c>
      <c r="AY14" s="33">
        <f t="shared" si="2"/>
        <v>2.5520963987640242</v>
      </c>
      <c r="AZ14" s="33">
        <f t="shared" si="3"/>
        <v>1.8469374816916579</v>
      </c>
      <c r="BA14" s="33">
        <f t="shared" si="4"/>
        <v>4.1087279462276864</v>
      </c>
      <c r="BB14" s="33">
        <f t="shared" si="5"/>
        <v>4.2464994678429919</v>
      </c>
      <c r="BC14" s="33">
        <f t="shared" si="6"/>
        <v>3.5325500988084055</v>
      </c>
      <c r="BD14" s="33">
        <f t="shared" si="7"/>
        <v>4.0153679812312006</v>
      </c>
      <c r="BE14" s="33">
        <f t="shared" si="8"/>
        <v>4.3085453940178144</v>
      </c>
      <c r="BF14" s="33">
        <f t="shared" si="9"/>
        <v>4.4626001024674489</v>
      </c>
      <c r="BG14" s="33">
        <f t="shared" si="10"/>
        <v>4.5085468731517642</v>
      </c>
      <c r="BH14" s="33">
        <f t="shared" si="11"/>
        <v>4.3997552048063975</v>
      </c>
      <c r="BI14" s="33">
        <f t="shared" si="12"/>
        <v>1.3698317660982977</v>
      </c>
      <c r="BJ14" s="33">
        <f t="shared" si="13"/>
        <v>1.057352377481702</v>
      </c>
      <c r="BK14" s="33">
        <f t="shared" si="14"/>
        <v>1.3230892925228834</v>
      </c>
      <c r="BL14" s="33">
        <f t="shared" si="15"/>
        <v>3.8175067992431311</v>
      </c>
      <c r="BM14" s="33">
        <f t="shared" si="16"/>
        <v>0.68040873039128136</v>
      </c>
      <c r="BN14" s="33">
        <f t="shared" si="17"/>
        <v>0.73560890337000628</v>
      </c>
      <c r="BO14" s="33">
        <f t="shared" si="18"/>
        <v>0.85522108815160314</v>
      </c>
      <c r="BP14" s="33">
        <f t="shared" si="19"/>
        <v>0.95163229728701693</v>
      </c>
    </row>
    <row r="15" spans="2:68" x14ac:dyDescent="0.2">
      <c r="B15" s="2">
        <v>11</v>
      </c>
      <c r="C15" s="2" t="s">
        <v>31</v>
      </c>
      <c r="D15" s="2" t="s">
        <v>32</v>
      </c>
      <c r="E15" s="2"/>
      <c r="F15" s="2"/>
      <c r="G15" s="2" t="s">
        <v>103</v>
      </c>
      <c r="H15" s="2" t="s">
        <v>103</v>
      </c>
      <c r="I15" s="6">
        <v>867696</v>
      </c>
      <c r="J15" s="6">
        <v>985990</v>
      </c>
      <c r="K15" s="11">
        <v>1070869</v>
      </c>
      <c r="L15" s="11">
        <v>1142740</v>
      </c>
      <c r="M15" s="48">
        <v>648489</v>
      </c>
      <c r="N15" s="6">
        <v>745021</v>
      </c>
      <c r="O15" s="11">
        <v>775173</v>
      </c>
      <c r="P15" s="11">
        <v>798575</v>
      </c>
      <c r="Q15" s="6">
        <v>654666</v>
      </c>
      <c r="R15" s="6">
        <v>619100</v>
      </c>
      <c r="S15" s="11">
        <v>624887</v>
      </c>
      <c r="T15" s="11">
        <v>601487</v>
      </c>
      <c r="U15" s="11">
        <v>776690</v>
      </c>
      <c r="V15" s="11">
        <v>668086</v>
      </c>
      <c r="W15" s="11">
        <v>580346</v>
      </c>
      <c r="X15" s="11">
        <v>564106</v>
      </c>
      <c r="Y15" s="11">
        <v>747210</v>
      </c>
      <c r="Z15" s="11">
        <v>700311</v>
      </c>
      <c r="AA15" s="11">
        <v>636506</v>
      </c>
      <c r="AB15" s="11">
        <v>660145</v>
      </c>
      <c r="AC15" s="6">
        <v>274294</v>
      </c>
      <c r="AD15" s="6">
        <v>304884</v>
      </c>
      <c r="AE15" s="11">
        <v>330904</v>
      </c>
      <c r="AF15" s="11">
        <v>272636</v>
      </c>
      <c r="AG15" s="6">
        <v>283212</v>
      </c>
      <c r="AH15" s="6">
        <v>293172</v>
      </c>
      <c r="AI15" s="11">
        <v>301520</v>
      </c>
      <c r="AJ15" s="11">
        <v>307018</v>
      </c>
      <c r="AK15" s="6">
        <v>282317</v>
      </c>
      <c r="AL15" s="6">
        <v>294532</v>
      </c>
      <c r="AM15" s="6">
        <v>307381</v>
      </c>
      <c r="AN15" s="6">
        <f>SUMIF('Daftar LQ 45'!$C$5:$C$45,'2023 - 2019'!C15,'Daftar LQ 45'!$W$5:$W$45)</f>
        <v>266050</v>
      </c>
      <c r="AO15" s="6">
        <v>301566</v>
      </c>
      <c r="AP15" s="6">
        <v>242768</v>
      </c>
      <c r="AQ15" s="6">
        <v>259616</v>
      </c>
      <c r="AR15" s="6">
        <f>SUMIF('Daftar LQ 45'!$C$5:$C$45,'2023 - 2019'!C15,'Daftar LQ 45'!$X$5:$X$45)</f>
        <v>263103</v>
      </c>
      <c r="AS15" s="6">
        <v>223548</v>
      </c>
      <c r="AT15" s="6">
        <v>237992</v>
      </c>
      <c r="AU15" s="6">
        <v>239839</v>
      </c>
      <c r="AV15" s="6">
        <v>249198</v>
      </c>
      <c r="AW15" s="33">
        <f t="shared" si="0"/>
        <v>31.611762644981649</v>
      </c>
      <c r="AX15" s="33">
        <f t="shared" si="1"/>
        <v>30.921611781052544</v>
      </c>
      <c r="AY15" s="33">
        <f t="shared" si="2"/>
        <v>30.900511640546135</v>
      </c>
      <c r="AZ15" s="33">
        <f t="shared" si="3"/>
        <v>23.858095454784113</v>
      </c>
      <c r="BA15" s="33">
        <f t="shared" si="4"/>
        <v>43.672598918408795</v>
      </c>
      <c r="BB15" s="33">
        <f t="shared" si="5"/>
        <v>39.350837090498118</v>
      </c>
      <c r="BC15" s="33">
        <f t="shared" si="6"/>
        <v>38.897123609826451</v>
      </c>
      <c r="BD15" s="33">
        <f t="shared" si="7"/>
        <v>38.445731459161628</v>
      </c>
      <c r="BE15" s="33">
        <f t="shared" si="8"/>
        <v>43.123821918352256</v>
      </c>
      <c r="BF15" s="33">
        <f t="shared" si="9"/>
        <v>47.574220642868681</v>
      </c>
      <c r="BG15" s="33">
        <f t="shared" si="10"/>
        <v>49.189853525517414</v>
      </c>
      <c r="BH15" s="33">
        <f t="shared" si="11"/>
        <v>44.232044915351452</v>
      </c>
      <c r="BI15" s="33">
        <f t="shared" si="12"/>
        <v>38.827073864733677</v>
      </c>
      <c r="BJ15" s="33">
        <f t="shared" si="13"/>
        <v>36.337836745568687</v>
      </c>
      <c r="BK15" s="33">
        <f t="shared" si="14"/>
        <v>44.734692752254688</v>
      </c>
      <c r="BL15" s="33">
        <f t="shared" si="15"/>
        <v>46.640702279358841</v>
      </c>
      <c r="BM15" s="33">
        <f t="shared" si="16"/>
        <v>29.917693821014176</v>
      </c>
      <c r="BN15" s="33">
        <f t="shared" si="17"/>
        <v>33.983758644373715</v>
      </c>
      <c r="BO15" s="33">
        <f t="shared" si="18"/>
        <v>37.680556035606891</v>
      </c>
      <c r="BP15" s="33">
        <f t="shared" si="19"/>
        <v>37.7489793908914</v>
      </c>
    </row>
    <row r="16" spans="2:68" x14ac:dyDescent="0.2">
      <c r="B16" s="2">
        <v>12</v>
      </c>
      <c r="C16" s="2" t="s">
        <v>33</v>
      </c>
      <c r="D16" s="2" t="s">
        <v>34</v>
      </c>
      <c r="E16" s="2"/>
      <c r="F16" s="2"/>
      <c r="G16" s="2" t="s">
        <v>103</v>
      </c>
      <c r="H16" s="2" t="s">
        <v>103</v>
      </c>
      <c r="I16" s="6">
        <v>0</v>
      </c>
      <c r="J16" s="6">
        <v>0</v>
      </c>
      <c r="K16" s="11">
        <v>0</v>
      </c>
      <c r="L16" s="11">
        <v>0</v>
      </c>
      <c r="M16" s="6">
        <v>0</v>
      </c>
      <c r="N16" s="6">
        <v>0</v>
      </c>
      <c r="O16" s="11">
        <v>0</v>
      </c>
      <c r="P16" s="11">
        <v>0</v>
      </c>
      <c r="Q16" s="6">
        <v>0</v>
      </c>
      <c r="R16" s="6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6">
        <v>0</v>
      </c>
      <c r="AD16" s="6">
        <v>0</v>
      </c>
      <c r="AE16" s="11">
        <v>0</v>
      </c>
      <c r="AF16" s="11">
        <v>0</v>
      </c>
      <c r="AG16" s="6">
        <v>0</v>
      </c>
      <c r="AH16" s="6">
        <v>0</v>
      </c>
      <c r="AI16" s="11">
        <v>0</v>
      </c>
      <c r="AJ16" s="11">
        <v>0</v>
      </c>
      <c r="AK16" s="6">
        <v>0</v>
      </c>
      <c r="AL16" s="6">
        <v>0</v>
      </c>
      <c r="AM16" s="6">
        <v>0</v>
      </c>
      <c r="AN16" s="6">
        <f>SUMIF('Daftar LQ 45'!$C$5:$C$45,'2023 - 2019'!C16,'Daftar LQ 45'!$W$5:$W$45)</f>
        <v>0</v>
      </c>
      <c r="AO16" s="6">
        <v>0</v>
      </c>
      <c r="AP16" s="6">
        <v>0</v>
      </c>
      <c r="AQ16" s="6">
        <v>0</v>
      </c>
      <c r="AR16" s="6">
        <f>SUMIF('Daftar LQ 45'!$C$5:$C$45,'2023 - 2019'!C16,'Daftar LQ 45'!$X$5:$X$45)</f>
        <v>0</v>
      </c>
      <c r="AS16" s="6">
        <v>0</v>
      </c>
      <c r="AT16" s="6">
        <v>0</v>
      </c>
      <c r="AU16" s="6">
        <v>0</v>
      </c>
      <c r="AV16" s="6">
        <v>0</v>
      </c>
      <c r="AW16" s="33">
        <f t="shared" si="0"/>
        <v>0</v>
      </c>
      <c r="AX16" s="33">
        <f t="shared" si="1"/>
        <v>0</v>
      </c>
      <c r="AY16" s="33">
        <f t="shared" si="2"/>
        <v>0</v>
      </c>
      <c r="AZ16" s="33">
        <f t="shared" si="3"/>
        <v>0</v>
      </c>
      <c r="BA16" s="33">
        <f t="shared" si="4"/>
        <v>0</v>
      </c>
      <c r="BB16" s="33">
        <f t="shared" si="5"/>
        <v>0</v>
      </c>
      <c r="BC16" s="33">
        <f t="shared" si="6"/>
        <v>0</v>
      </c>
      <c r="BD16" s="33">
        <f t="shared" si="7"/>
        <v>0</v>
      </c>
      <c r="BE16" s="33">
        <f t="shared" si="8"/>
        <v>0</v>
      </c>
      <c r="BF16" s="33">
        <f t="shared" si="9"/>
        <v>0</v>
      </c>
      <c r="BG16" s="33">
        <f t="shared" si="10"/>
        <v>0</v>
      </c>
      <c r="BH16" s="33">
        <f t="shared" si="11"/>
        <v>0</v>
      </c>
      <c r="BI16" s="33">
        <f t="shared" si="12"/>
        <v>0</v>
      </c>
      <c r="BJ16" s="33">
        <f t="shared" si="13"/>
        <v>0</v>
      </c>
      <c r="BK16" s="33">
        <f t="shared" si="14"/>
        <v>0</v>
      </c>
      <c r="BL16" s="33">
        <f t="shared" si="15"/>
        <v>0</v>
      </c>
      <c r="BM16" s="33">
        <f t="shared" si="16"/>
        <v>0</v>
      </c>
      <c r="BN16" s="33">
        <f t="shared" si="17"/>
        <v>0</v>
      </c>
      <c r="BO16" s="33">
        <f t="shared" si="18"/>
        <v>0</v>
      </c>
      <c r="BP16" s="33">
        <f t="shared" si="19"/>
        <v>0</v>
      </c>
    </row>
    <row r="17" spans="2:68" x14ac:dyDescent="0.2">
      <c r="B17" s="2">
        <v>13</v>
      </c>
      <c r="C17" s="2" t="s">
        <v>35</v>
      </c>
      <c r="D17" s="2" t="s">
        <v>36</v>
      </c>
      <c r="E17" s="2"/>
      <c r="F17" s="2"/>
      <c r="G17" s="2" t="s">
        <v>103</v>
      </c>
      <c r="H17" s="2" t="s">
        <v>103</v>
      </c>
      <c r="I17" s="6">
        <v>2982841</v>
      </c>
      <c r="J17" s="6">
        <v>4301151</v>
      </c>
      <c r="K17" s="11">
        <v>3348985</v>
      </c>
      <c r="L17" s="11">
        <v>3185168</v>
      </c>
      <c r="M17" s="6">
        <v>2356457</v>
      </c>
      <c r="N17" s="11">
        <v>2316534</v>
      </c>
      <c r="O17" s="11">
        <v>3312121</v>
      </c>
      <c r="P17" s="11">
        <v>2880199</v>
      </c>
      <c r="Q17" s="6">
        <v>2206694</v>
      </c>
      <c r="R17" s="6">
        <v>2935155</v>
      </c>
      <c r="S17" s="11">
        <v>2333959</v>
      </c>
      <c r="T17" s="11">
        <v>2420413</v>
      </c>
      <c r="U17" s="11">
        <v>2162625</v>
      </c>
      <c r="V17" s="11">
        <v>3489452</v>
      </c>
      <c r="W17" s="11">
        <v>2883131</v>
      </c>
      <c r="X17" s="11">
        <v>3678162</v>
      </c>
      <c r="Y17" s="11">
        <v>2347540</v>
      </c>
      <c r="Z17" s="11">
        <v>2679176</v>
      </c>
      <c r="AA17" s="11">
        <v>2204270</v>
      </c>
      <c r="AB17" s="11">
        <v>3268366</v>
      </c>
      <c r="AC17" s="6">
        <v>37150</v>
      </c>
      <c r="AD17" s="6">
        <v>36746</v>
      </c>
      <c r="AE17" s="11">
        <v>39119</v>
      </c>
      <c r="AF17" s="11">
        <v>37127</v>
      </c>
      <c r="AG17" s="6">
        <v>41264</v>
      </c>
      <c r="AH17" s="6">
        <v>40516</v>
      </c>
      <c r="AI17" s="11">
        <v>40342</v>
      </c>
      <c r="AJ17" s="11">
        <v>36605</v>
      </c>
      <c r="AK17" s="6">
        <v>33347</v>
      </c>
      <c r="AL17" s="6">
        <v>28050</v>
      </c>
      <c r="AM17" s="6">
        <v>32677</v>
      </c>
      <c r="AN17" s="6">
        <f>SUMIF('Daftar LQ 45'!$C$5:$C$45,'2023 - 2019'!C17,'Daftar LQ 45'!$W$5:$W$45)</f>
        <v>39620</v>
      </c>
      <c r="AO17" s="6">
        <v>13838</v>
      </c>
      <c r="AP17" s="6">
        <v>16707</v>
      </c>
      <c r="AQ17" s="6">
        <v>18909</v>
      </c>
      <c r="AR17" s="6">
        <f>SUMIF('Daftar LQ 45'!$C$5:$C$45,'2023 - 2019'!C17,'Daftar LQ 45'!$X$5:$X$45)</f>
        <v>29840</v>
      </c>
      <c r="AS17" s="6">
        <v>9855</v>
      </c>
      <c r="AT17" s="6">
        <v>7885</v>
      </c>
      <c r="AU17" s="6">
        <v>11386</v>
      </c>
      <c r="AV17" s="6">
        <v>13412</v>
      </c>
      <c r="AW17" s="33">
        <f t="shared" si="0"/>
        <v>1.2454569318310966</v>
      </c>
      <c r="AX17" s="33">
        <f t="shared" si="1"/>
        <v>0.85432945739407884</v>
      </c>
      <c r="AY17" s="33">
        <f t="shared" si="2"/>
        <v>1.1680852556819454</v>
      </c>
      <c r="AZ17" s="33">
        <f t="shared" si="3"/>
        <v>1.165621405213163</v>
      </c>
      <c r="BA17" s="33">
        <f t="shared" si="4"/>
        <v>1.751103457436312</v>
      </c>
      <c r="BB17" s="33">
        <f t="shared" si="5"/>
        <v>1.7489922444479555</v>
      </c>
      <c r="BC17" s="33">
        <f t="shared" si="6"/>
        <v>1.2180110569631968</v>
      </c>
      <c r="BD17" s="33">
        <f t="shared" si="7"/>
        <v>1.2709191274630676</v>
      </c>
      <c r="BE17" s="33">
        <f t="shared" si="8"/>
        <v>1.5111746349969684</v>
      </c>
      <c r="BF17" s="33">
        <f t="shared" si="9"/>
        <v>0.95565651558435583</v>
      </c>
      <c r="BG17" s="33">
        <f t="shared" si="10"/>
        <v>1.4000674390595551</v>
      </c>
      <c r="BH17" s="33">
        <f t="shared" si="11"/>
        <v>1.6369107255662567</v>
      </c>
      <c r="BI17" s="33">
        <f t="shared" si="12"/>
        <v>0.63987052771516095</v>
      </c>
      <c r="BJ17" s="33">
        <f t="shared" si="13"/>
        <v>0.47878578068991917</v>
      </c>
      <c r="BK17" s="33">
        <f t="shared" si="14"/>
        <v>0.65584949140361637</v>
      </c>
      <c r="BL17" s="33">
        <f t="shared" si="15"/>
        <v>0.81127476168803869</v>
      </c>
      <c r="BM17" s="33">
        <f t="shared" si="16"/>
        <v>0.41980115354796932</v>
      </c>
      <c r="BN17" s="33">
        <f t="shared" si="17"/>
        <v>0.29430690630253481</v>
      </c>
      <c r="BO17" s="33">
        <f t="shared" si="18"/>
        <v>0.51654289175101054</v>
      </c>
      <c r="BP17" s="33">
        <f t="shared" si="19"/>
        <v>0.41035795868638947</v>
      </c>
    </row>
    <row r="18" spans="2:68" x14ac:dyDescent="0.2">
      <c r="B18" s="2">
        <v>14</v>
      </c>
      <c r="C18" s="2" t="s">
        <v>37</v>
      </c>
      <c r="D18" s="2" t="s">
        <v>38</v>
      </c>
      <c r="E18" s="2"/>
      <c r="F18" s="2"/>
      <c r="G18" s="2" t="s">
        <v>103</v>
      </c>
      <c r="H18" s="2" t="s">
        <v>103</v>
      </c>
      <c r="I18" s="6">
        <v>4353499</v>
      </c>
      <c r="J18" s="6">
        <v>4041234</v>
      </c>
      <c r="K18" s="11">
        <v>4299800</v>
      </c>
      <c r="L18" s="11">
        <v>3937766</v>
      </c>
      <c r="M18" s="6">
        <v>3739675</v>
      </c>
      <c r="N18" s="6">
        <v>3944733</v>
      </c>
      <c r="O18" s="11">
        <v>4293467</v>
      </c>
      <c r="P18" s="11">
        <v>3603845</v>
      </c>
      <c r="Q18" s="6">
        <v>7152600</v>
      </c>
      <c r="R18" s="6">
        <v>7087560</v>
      </c>
      <c r="S18" s="11">
        <v>7011977</v>
      </c>
      <c r="T18" s="11">
        <f>3164990+3334347</f>
        <v>6499337</v>
      </c>
      <c r="U18" s="11">
        <f>5767511+AO18</f>
        <v>5792598</v>
      </c>
      <c r="V18" s="11">
        <v>4987366</v>
      </c>
      <c r="W18" s="11">
        <v>6299569</v>
      </c>
      <c r="X18" s="11">
        <f>2480256+2893401</f>
        <v>5373657</v>
      </c>
      <c r="Y18" s="11">
        <v>5502530</v>
      </c>
      <c r="Z18" s="11">
        <v>5580565</v>
      </c>
      <c r="AA18" s="11">
        <v>5181754</v>
      </c>
      <c r="AB18" s="11">
        <f>4049290+AV18</f>
        <v>4074536</v>
      </c>
      <c r="AC18" s="6">
        <v>84479</v>
      </c>
      <c r="AD18" s="6">
        <v>83200</v>
      </c>
      <c r="AE18" s="11">
        <v>93573</v>
      </c>
      <c r="AF18" s="11">
        <v>101082</v>
      </c>
      <c r="AG18" s="6">
        <v>99778</v>
      </c>
      <c r="AH18" s="6">
        <v>103216</v>
      </c>
      <c r="AI18" s="11">
        <v>106039</v>
      </c>
      <c r="AJ18" s="11">
        <v>96279</v>
      </c>
      <c r="AK18" s="6">
        <v>101886</v>
      </c>
      <c r="AL18" s="6">
        <v>101717</v>
      </c>
      <c r="AM18" s="6">
        <v>96960</v>
      </c>
      <c r="AN18" s="6">
        <f>SUMIF('Daftar LQ 45'!$C$5:$C$45,'2023 - 2019'!C18,'Daftar LQ 45'!$W$5:$W$45)</f>
        <v>98407</v>
      </c>
      <c r="AO18" s="6">
        <v>25087</v>
      </c>
      <c r="AP18" s="6">
        <v>24608</v>
      </c>
      <c r="AQ18" s="6">
        <v>24609</v>
      </c>
      <c r="AR18" s="6">
        <f>SUMIF('Daftar LQ 45'!$C$5:$C$45,'2023 - 2019'!C18,'Daftar LQ 45'!$X$5:$X$45)</f>
        <v>100241</v>
      </c>
      <c r="AS18" s="6">
        <v>23034</v>
      </c>
      <c r="AT18" s="6">
        <v>23034</v>
      </c>
      <c r="AU18" s="6">
        <v>21746</v>
      </c>
      <c r="AV18" s="6">
        <v>25246</v>
      </c>
      <c r="AW18" s="33">
        <f t="shared" si="0"/>
        <v>1.9404851132387995</v>
      </c>
      <c r="AX18" s="33">
        <f t="shared" si="1"/>
        <v>2.0587770963027627</v>
      </c>
      <c r="AY18" s="33">
        <f t="shared" si="2"/>
        <v>2.1762174984883016</v>
      </c>
      <c r="AZ18" s="33">
        <f t="shared" si="3"/>
        <v>2.5669884904283293</v>
      </c>
      <c r="BA18" s="33">
        <f t="shared" si="4"/>
        <v>2.6680928155521535</v>
      </c>
      <c r="BB18" s="33">
        <f t="shared" si="5"/>
        <v>2.6165522482763723</v>
      </c>
      <c r="BC18" s="33">
        <f t="shared" si="6"/>
        <v>2.4697755916139568</v>
      </c>
      <c r="BD18" s="33">
        <f t="shared" si="7"/>
        <v>2.6715632886542013</v>
      </c>
      <c r="BE18" s="33">
        <f t="shared" si="8"/>
        <v>1.424461035148058</v>
      </c>
      <c r="BF18" s="33">
        <f t="shared" si="9"/>
        <v>1.4351483444231865</v>
      </c>
      <c r="BG18" s="33">
        <f t="shared" si="10"/>
        <v>1.3827769258227742</v>
      </c>
      <c r="BH18" s="33">
        <f t="shared" si="11"/>
        <v>1.5141082851989365</v>
      </c>
      <c r="BI18" s="33">
        <f t="shared" si="12"/>
        <v>0.43308719161937353</v>
      </c>
      <c r="BJ18" s="33">
        <f t="shared" si="13"/>
        <v>0.4934067401510136</v>
      </c>
      <c r="BK18" s="33">
        <f t="shared" si="14"/>
        <v>0.39064577275048501</v>
      </c>
      <c r="BL18" s="33">
        <f t="shared" si="15"/>
        <v>1.8654149306515095</v>
      </c>
      <c r="BM18" s="33">
        <f t="shared" si="16"/>
        <v>0.41860744057733446</v>
      </c>
      <c r="BN18" s="33">
        <f t="shared" si="17"/>
        <v>0.41275390574251891</v>
      </c>
      <c r="BO18" s="33">
        <f t="shared" si="18"/>
        <v>0.41966484707687779</v>
      </c>
      <c r="BP18" s="33">
        <f t="shared" si="19"/>
        <v>0.61960429359318459</v>
      </c>
    </row>
    <row r="19" spans="2:68" x14ac:dyDescent="0.2">
      <c r="B19" s="2">
        <v>15</v>
      </c>
      <c r="C19" s="2" t="s">
        <v>39</v>
      </c>
      <c r="D19" s="2" t="s">
        <v>40</v>
      </c>
      <c r="E19" s="2"/>
      <c r="F19" s="2"/>
      <c r="G19" s="2" t="s">
        <v>103</v>
      </c>
      <c r="H19" s="2" t="s">
        <v>103</v>
      </c>
      <c r="I19" s="6">
        <v>0</v>
      </c>
      <c r="J19" s="6">
        <v>0</v>
      </c>
      <c r="K19" s="6">
        <v>0</v>
      </c>
      <c r="L19" s="11">
        <v>0</v>
      </c>
      <c r="M19" s="6">
        <v>0</v>
      </c>
      <c r="N19" s="6">
        <v>0</v>
      </c>
      <c r="O19" s="6">
        <v>0</v>
      </c>
      <c r="P19" s="11">
        <v>0</v>
      </c>
      <c r="Q19" s="6">
        <v>0</v>
      </c>
      <c r="R19" s="6">
        <v>0</v>
      </c>
      <c r="S19" s="6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6">
        <v>0</v>
      </c>
      <c r="AD19" s="6">
        <v>0</v>
      </c>
      <c r="AE19" s="6">
        <v>0</v>
      </c>
      <c r="AF19" s="11">
        <v>0</v>
      </c>
      <c r="AG19" s="6">
        <v>0</v>
      </c>
      <c r="AH19" s="6">
        <v>0</v>
      </c>
      <c r="AI19" s="6">
        <v>0</v>
      </c>
      <c r="AJ19" s="11">
        <v>0</v>
      </c>
      <c r="AK19" s="6">
        <v>0</v>
      </c>
      <c r="AL19" s="6">
        <v>0</v>
      </c>
      <c r="AM19" s="6">
        <v>0</v>
      </c>
      <c r="AN19" s="6">
        <f>SUMIF('Daftar LQ 45'!$C$5:$C$45,'2023 - 2019'!C19,'Daftar LQ 45'!$W$5:$W$45)</f>
        <v>0</v>
      </c>
      <c r="AO19" s="6">
        <v>0</v>
      </c>
      <c r="AP19" s="6">
        <v>0</v>
      </c>
      <c r="AQ19" s="6">
        <v>0</v>
      </c>
      <c r="AR19" s="6">
        <f>SUMIF('Daftar LQ 45'!$C$5:$C$45,'2023 - 2019'!C19,'Daftar LQ 45'!$X$5:$X$45)</f>
        <v>0</v>
      </c>
      <c r="AS19" s="6">
        <v>0</v>
      </c>
      <c r="AT19" s="6">
        <v>0</v>
      </c>
      <c r="AU19" s="6">
        <v>0</v>
      </c>
      <c r="AV19" s="6">
        <v>0</v>
      </c>
      <c r="AW19" s="33">
        <f t="shared" si="0"/>
        <v>0</v>
      </c>
      <c r="AX19" s="33">
        <f t="shared" si="1"/>
        <v>0</v>
      </c>
      <c r="AY19" s="33">
        <f t="shared" si="2"/>
        <v>0</v>
      </c>
      <c r="AZ19" s="33">
        <f t="shared" si="3"/>
        <v>0</v>
      </c>
      <c r="BA19" s="33">
        <f t="shared" si="4"/>
        <v>0</v>
      </c>
      <c r="BB19" s="33">
        <f t="shared" si="5"/>
        <v>0</v>
      </c>
      <c r="BC19" s="33">
        <f t="shared" si="6"/>
        <v>0</v>
      </c>
      <c r="BD19" s="33">
        <f t="shared" si="7"/>
        <v>0</v>
      </c>
      <c r="BE19" s="33">
        <f t="shared" si="8"/>
        <v>0</v>
      </c>
      <c r="BF19" s="33">
        <f t="shared" si="9"/>
        <v>0</v>
      </c>
      <c r="BG19" s="33">
        <f t="shared" si="10"/>
        <v>0</v>
      </c>
      <c r="BH19" s="33">
        <f t="shared" si="11"/>
        <v>0</v>
      </c>
      <c r="BI19" s="33">
        <f t="shared" si="12"/>
        <v>0</v>
      </c>
      <c r="BJ19" s="33">
        <f t="shared" si="13"/>
        <v>0</v>
      </c>
      <c r="BK19" s="33">
        <f t="shared" si="14"/>
        <v>0</v>
      </c>
      <c r="BL19" s="33">
        <f t="shared" si="15"/>
        <v>0</v>
      </c>
      <c r="BM19" s="33">
        <f t="shared" si="16"/>
        <v>0</v>
      </c>
      <c r="BN19" s="33">
        <f t="shared" si="17"/>
        <v>0</v>
      </c>
      <c r="BO19" s="33">
        <f t="shared" si="18"/>
        <v>0</v>
      </c>
      <c r="BP19" s="33">
        <f t="shared" si="19"/>
        <v>0</v>
      </c>
    </row>
    <row r="20" spans="2:68" x14ac:dyDescent="0.2">
      <c r="B20" s="2">
        <v>16</v>
      </c>
      <c r="C20" s="2" t="s">
        <v>41</v>
      </c>
      <c r="D20" s="2" t="s">
        <v>42</v>
      </c>
      <c r="E20" s="2"/>
      <c r="F20" s="2"/>
      <c r="G20" s="2" t="s">
        <v>103</v>
      </c>
      <c r="H20" s="2" t="s">
        <v>103</v>
      </c>
      <c r="I20" s="6">
        <v>9286658</v>
      </c>
      <c r="J20" s="6">
        <v>7663231</v>
      </c>
      <c r="K20" s="11">
        <v>8359638</v>
      </c>
      <c r="L20" s="11">
        <v>6976110</v>
      </c>
      <c r="M20" s="6">
        <v>7875762</v>
      </c>
      <c r="N20" s="6">
        <v>7304319</v>
      </c>
      <c r="O20" s="11">
        <v>7778731</v>
      </c>
      <c r="P20" s="11">
        <v>6946276</v>
      </c>
      <c r="Q20" s="6">
        <v>8309298</v>
      </c>
      <c r="R20" s="6">
        <v>7536764</v>
      </c>
      <c r="S20" s="11">
        <v>7861934</v>
      </c>
      <c r="T20" s="11">
        <f>6374269+1395975</f>
        <v>7770244</v>
      </c>
      <c r="U20" s="11">
        <v>6285606</v>
      </c>
      <c r="V20" s="11">
        <v>5930327</v>
      </c>
      <c r="W20" s="11">
        <v>7198636</v>
      </c>
      <c r="X20" s="11">
        <f>5507296+1113519</f>
        <v>6620815</v>
      </c>
      <c r="Y20" s="11">
        <v>6535374</v>
      </c>
      <c r="Z20" s="11">
        <v>6400875</v>
      </c>
      <c r="AA20" s="11">
        <v>5899970</v>
      </c>
      <c r="AB20" s="11">
        <v>5531379</v>
      </c>
      <c r="AC20" s="6">
        <v>128670</v>
      </c>
      <c r="AD20" s="6">
        <v>127326</v>
      </c>
      <c r="AE20" s="11">
        <v>136225</v>
      </c>
      <c r="AF20" s="11">
        <v>148260</v>
      </c>
      <c r="AG20" s="6">
        <v>158225</v>
      </c>
      <c r="AH20" s="6">
        <v>161459</v>
      </c>
      <c r="AI20" s="11">
        <v>145714</v>
      </c>
      <c r="AJ20" s="11">
        <v>140741</v>
      </c>
      <c r="AK20" s="6">
        <v>193112</v>
      </c>
      <c r="AL20" s="6">
        <v>193141</v>
      </c>
      <c r="AM20" s="6">
        <v>180245</v>
      </c>
      <c r="AN20" s="6">
        <f>SUMIF('Daftar LQ 45'!$C$5:$C$45,'2023 - 2019'!C20,'Daftar LQ 45'!$W$5:$W$45)</f>
        <v>144203</v>
      </c>
      <c r="AO20" s="6">
        <v>125190</v>
      </c>
      <c r="AP20" s="6">
        <v>113604</v>
      </c>
      <c r="AQ20" s="6">
        <v>105455</v>
      </c>
      <c r="AR20" s="6">
        <f>SUMIF('Daftar LQ 45'!$C$5:$C$45,'2023 - 2019'!C20,'Daftar LQ 45'!$X$5:$X$45)</f>
        <v>191685</v>
      </c>
      <c r="AS20" s="6">
        <v>62403</v>
      </c>
      <c r="AT20" s="6">
        <v>62538</v>
      </c>
      <c r="AU20" s="6">
        <v>63886</v>
      </c>
      <c r="AV20" s="6">
        <v>125346</v>
      </c>
      <c r="AW20" s="33">
        <f t="shared" si="0"/>
        <v>1.3855361099762691</v>
      </c>
      <c r="AX20" s="33">
        <f t="shared" si="1"/>
        <v>1.6615184900468223</v>
      </c>
      <c r="AY20" s="33">
        <f t="shared" si="2"/>
        <v>1.629556208055899</v>
      </c>
      <c r="AZ20" s="33">
        <f t="shared" si="3"/>
        <v>2.1252531855145631</v>
      </c>
      <c r="BA20" s="33">
        <f t="shared" si="4"/>
        <v>2.0090119533830504</v>
      </c>
      <c r="BB20" s="33">
        <f t="shared" si="5"/>
        <v>2.2104593186579065</v>
      </c>
      <c r="BC20" s="33">
        <f t="shared" si="6"/>
        <v>1.8732361358170118</v>
      </c>
      <c r="BD20" s="33">
        <f t="shared" si="7"/>
        <v>2.0261360187818624</v>
      </c>
      <c r="BE20" s="33">
        <f t="shared" si="8"/>
        <v>2.3240471096354951</v>
      </c>
      <c r="BF20" s="33">
        <f t="shared" si="9"/>
        <v>2.5626515570873654</v>
      </c>
      <c r="BG20" s="33">
        <f t="shared" si="10"/>
        <v>2.2926292690831542</v>
      </c>
      <c r="BH20" s="33">
        <f t="shared" si="11"/>
        <v>1.855836187383562</v>
      </c>
      <c r="BI20" s="33">
        <f t="shared" si="12"/>
        <v>1.9916934023545225</v>
      </c>
      <c r="BJ20" s="33">
        <f t="shared" si="13"/>
        <v>1.9156447865353798</v>
      </c>
      <c r="BK20" s="33">
        <f t="shared" si="14"/>
        <v>1.4649303006847409</v>
      </c>
      <c r="BL20" s="33">
        <f t="shared" si="15"/>
        <v>2.8951873749681876</v>
      </c>
      <c r="BM20" s="33">
        <f t="shared" si="16"/>
        <v>0.95484971479826553</v>
      </c>
      <c r="BN20" s="33">
        <f t="shared" si="17"/>
        <v>0.97702267268146936</v>
      </c>
      <c r="BO20" s="33">
        <f t="shared" si="18"/>
        <v>1.0828190651816874</v>
      </c>
      <c r="BP20" s="33">
        <f t="shared" si="19"/>
        <v>2.2660895230646827</v>
      </c>
    </row>
    <row r="21" spans="2:68" x14ac:dyDescent="0.2">
      <c r="B21" s="2">
        <v>17</v>
      </c>
      <c r="C21" s="2" t="s">
        <v>43</v>
      </c>
      <c r="D21" s="2" t="s">
        <v>44</v>
      </c>
      <c r="E21" s="2"/>
      <c r="F21" s="2"/>
      <c r="G21" s="2" t="s">
        <v>103</v>
      </c>
      <c r="H21" s="2" t="s">
        <v>103</v>
      </c>
      <c r="I21" s="6">
        <v>646408</v>
      </c>
      <c r="J21" s="6">
        <v>689777</v>
      </c>
      <c r="K21" s="11">
        <v>632041</v>
      </c>
      <c r="L21" s="11">
        <v>416914</v>
      </c>
      <c r="M21" s="6">
        <v>509320</v>
      </c>
      <c r="N21" s="6">
        <v>567381</v>
      </c>
      <c r="O21" s="11">
        <v>636337</v>
      </c>
      <c r="P21" s="11">
        <v>610525</v>
      </c>
      <c r="Q21" s="6">
        <v>1433819</v>
      </c>
      <c r="R21" s="6">
        <v>1077899</v>
      </c>
      <c r="S21" s="11">
        <v>1078750</v>
      </c>
      <c r="T21" s="11">
        <f>491301+918307</f>
        <v>1409608</v>
      </c>
      <c r="U21" s="11">
        <f>1102694+AO21</f>
        <v>1105941</v>
      </c>
      <c r="V21" s="11">
        <f>1206323+AP21</f>
        <v>1209725</v>
      </c>
      <c r="W21" s="11">
        <f>1184666+AQ21</f>
        <v>1188197</v>
      </c>
      <c r="X21" s="11">
        <f>879062+418195</f>
        <v>1297257</v>
      </c>
      <c r="Y21" s="11">
        <f>1091390+AS21</f>
        <v>1094962</v>
      </c>
      <c r="Z21" s="11">
        <f>995176+AT21</f>
        <v>998748</v>
      </c>
      <c r="AA21" s="11">
        <v>1064242</v>
      </c>
      <c r="AB21" s="11">
        <v>1168553</v>
      </c>
      <c r="AC21" s="6">
        <v>4699</v>
      </c>
      <c r="AD21" s="6">
        <v>5017</v>
      </c>
      <c r="AE21" s="11">
        <v>1613</v>
      </c>
      <c r="AF21" s="11">
        <v>928</v>
      </c>
      <c r="AG21" s="6">
        <v>3894</v>
      </c>
      <c r="AH21" s="6">
        <v>4044</v>
      </c>
      <c r="AI21" s="11">
        <v>4056</v>
      </c>
      <c r="AJ21" s="11">
        <v>4459</v>
      </c>
      <c r="AK21" s="6">
        <v>3210</v>
      </c>
      <c r="AL21" s="6">
        <v>2376</v>
      </c>
      <c r="AM21" s="6">
        <v>2331</v>
      </c>
      <c r="AN21" s="6">
        <f>SUMIF('Daftar LQ 45'!$C$5:$C$45,'2023 - 2019'!C21,'Daftar LQ 45'!$W$5:$W$45)</f>
        <v>3270</v>
      </c>
      <c r="AO21" s="6">
        <v>3247</v>
      </c>
      <c r="AP21" s="6">
        <v>3402</v>
      </c>
      <c r="AQ21" s="6">
        <v>3531</v>
      </c>
      <c r="AR21" s="6">
        <f>SUMIF('Daftar LQ 45'!$C$5:$C$45,'2023 - 2019'!C21,'Daftar LQ 45'!$X$5:$X$45)</f>
        <v>2894</v>
      </c>
      <c r="AS21" s="6">
        <v>3572</v>
      </c>
      <c r="AT21" s="6">
        <v>3572</v>
      </c>
      <c r="AU21" s="6">
        <v>0</v>
      </c>
      <c r="AV21" s="6">
        <v>0</v>
      </c>
      <c r="AW21" s="33">
        <f t="shared" si="0"/>
        <v>0.72694026064033856</v>
      </c>
      <c r="AX21" s="33">
        <f t="shared" si="1"/>
        <v>0.72733651600444782</v>
      </c>
      <c r="AY21" s="33">
        <f t="shared" si="2"/>
        <v>0.2552049629691745</v>
      </c>
      <c r="AZ21" s="33">
        <f t="shared" si="3"/>
        <v>0.2225878718392762</v>
      </c>
      <c r="BA21" s="33">
        <f t="shared" si="4"/>
        <v>0.76454881017827692</v>
      </c>
      <c r="BB21" s="33">
        <f t="shared" si="5"/>
        <v>0.71274857635345557</v>
      </c>
      <c r="BC21" s="33">
        <f t="shared" si="6"/>
        <v>0.63739810823510179</v>
      </c>
      <c r="BD21" s="33">
        <f t="shared" si="7"/>
        <v>0.73035502231685845</v>
      </c>
      <c r="BE21" s="33">
        <f t="shared" si="8"/>
        <v>0.22387763030061675</v>
      </c>
      <c r="BF21" s="33">
        <f t="shared" si="9"/>
        <v>0.22042881568681297</v>
      </c>
      <c r="BG21" s="33">
        <f t="shared" si="10"/>
        <v>0.21608342989571264</v>
      </c>
      <c r="BH21" s="33">
        <f t="shared" si="11"/>
        <v>0.23197938717714428</v>
      </c>
      <c r="BI21" s="33">
        <f t="shared" si="12"/>
        <v>0.29359613216256564</v>
      </c>
      <c r="BJ21" s="33">
        <f t="shared" si="13"/>
        <v>0.28122093864308007</v>
      </c>
      <c r="BK21" s="33">
        <f t="shared" si="14"/>
        <v>0.29717294354387358</v>
      </c>
      <c r="BL21" s="33">
        <f t="shared" si="15"/>
        <v>0.22308609627853232</v>
      </c>
      <c r="BM21" s="33">
        <f t="shared" si="16"/>
        <v>0.32622136658623768</v>
      </c>
      <c r="BN21" s="33">
        <f t="shared" si="17"/>
        <v>0.35764777501431794</v>
      </c>
      <c r="BO21" s="33">
        <f t="shared" si="18"/>
        <v>0</v>
      </c>
      <c r="BP21" s="33">
        <f t="shared" si="19"/>
        <v>0</v>
      </c>
    </row>
    <row r="22" spans="2:68" x14ac:dyDescent="0.2">
      <c r="B22" s="2">
        <v>18</v>
      </c>
      <c r="C22" s="2" t="s">
        <v>45</v>
      </c>
      <c r="D22" s="2" t="s">
        <v>46</v>
      </c>
      <c r="E22" s="2"/>
      <c r="F22" s="2"/>
      <c r="G22" s="2" t="s">
        <v>103</v>
      </c>
      <c r="H22" s="2" t="s">
        <v>103</v>
      </c>
      <c r="I22" s="6">
        <v>2860857</v>
      </c>
      <c r="J22" s="6">
        <v>3054170</v>
      </c>
      <c r="K22" s="11">
        <v>3120766</v>
      </c>
      <c r="L22" s="11">
        <v>2969623</v>
      </c>
      <c r="M22" s="6">
        <v>2860342</v>
      </c>
      <c r="N22" s="6">
        <v>2953646</v>
      </c>
      <c r="O22" s="11">
        <v>3213294</v>
      </c>
      <c r="P22" s="11">
        <v>2898388</v>
      </c>
      <c r="Q22" s="6">
        <v>2865407</v>
      </c>
      <c r="R22" s="6">
        <v>2944376</v>
      </c>
      <c r="S22" s="11">
        <v>3067408</v>
      </c>
      <c r="T22" s="11">
        <v>2829518</v>
      </c>
      <c r="U22" s="11">
        <v>2741216</v>
      </c>
      <c r="V22" s="11">
        <v>2462834</v>
      </c>
      <c r="W22" s="11">
        <v>3016791</v>
      </c>
      <c r="X22" s="11">
        <v>2824267</v>
      </c>
      <c r="Y22" s="11">
        <v>3264068</v>
      </c>
      <c r="Z22" s="11">
        <v>2865125</v>
      </c>
      <c r="AA22" s="11">
        <v>3338061</v>
      </c>
      <c r="AB22" s="11">
        <v>3149256</v>
      </c>
      <c r="AC22" s="6">
        <v>252682</v>
      </c>
      <c r="AD22" s="6">
        <v>251629</v>
      </c>
      <c r="AE22" s="11">
        <v>252870</v>
      </c>
      <c r="AF22" s="11">
        <v>257303</v>
      </c>
      <c r="AG22" s="6">
        <v>244727</v>
      </c>
      <c r="AH22" s="6">
        <v>252778</v>
      </c>
      <c r="AI22" s="11">
        <v>254112</v>
      </c>
      <c r="AJ22" s="11">
        <v>253267</v>
      </c>
      <c r="AK22" s="6">
        <v>246601</v>
      </c>
      <c r="AL22" s="6">
        <v>247901</v>
      </c>
      <c r="AM22" s="6">
        <v>249851</v>
      </c>
      <c r="AN22" s="6">
        <f>SUMIF('Daftar LQ 45'!$C$5:$C$45,'2023 - 2019'!C22,'Daftar LQ 45'!$W$5:$W$45)</f>
        <v>242726</v>
      </c>
      <c r="AO22" s="6">
        <v>164105</v>
      </c>
      <c r="AP22" s="6">
        <v>164105</v>
      </c>
      <c r="AQ22" s="6">
        <v>161709</v>
      </c>
      <c r="AR22" s="6">
        <f>SUMIF('Daftar LQ 45'!$C$5:$C$45,'2023 - 2019'!C22,'Daftar LQ 45'!$X$5:$X$45)</f>
        <v>239615</v>
      </c>
      <c r="AS22" s="6">
        <v>156202</v>
      </c>
      <c r="AT22" s="6">
        <v>156199</v>
      </c>
      <c r="AU22" s="6">
        <v>163437</v>
      </c>
      <c r="AV22" s="6">
        <v>165105</v>
      </c>
      <c r="AW22" s="33">
        <f t="shared" si="0"/>
        <v>8.8323883367815998</v>
      </c>
      <c r="AX22" s="33">
        <f t="shared" si="1"/>
        <v>8.2388668607182964</v>
      </c>
      <c r="AY22" s="33">
        <f t="shared" si="2"/>
        <v>8.1028183465213353</v>
      </c>
      <c r="AZ22" s="33">
        <f t="shared" si="3"/>
        <v>8.6645005106708837</v>
      </c>
      <c r="BA22" s="33">
        <f t="shared" si="4"/>
        <v>8.5558649979617822</v>
      </c>
      <c r="BB22" s="33">
        <f t="shared" si="5"/>
        <v>8.5581684467265209</v>
      </c>
      <c r="BC22" s="33">
        <f t="shared" si="6"/>
        <v>7.9081465934956459</v>
      </c>
      <c r="BD22" s="33">
        <f t="shared" si="7"/>
        <v>8.7382020626637988</v>
      </c>
      <c r="BE22" s="33">
        <f t="shared" si="8"/>
        <v>8.6061421640974558</v>
      </c>
      <c r="BF22" s="33">
        <f t="shared" si="9"/>
        <v>8.4194749583612971</v>
      </c>
      <c r="BG22" s="33">
        <f t="shared" si="10"/>
        <v>8.145346168491443</v>
      </c>
      <c r="BH22" s="33">
        <f t="shared" si="11"/>
        <v>8.5783515072178371</v>
      </c>
      <c r="BI22" s="33">
        <f t="shared" si="12"/>
        <v>5.9865767600947901</v>
      </c>
      <c r="BJ22" s="33">
        <f t="shared" si="13"/>
        <v>6.6632586686719453</v>
      </c>
      <c r="BK22" s="33">
        <f t="shared" si="14"/>
        <v>5.3602984098003477</v>
      </c>
      <c r="BL22" s="33">
        <f t="shared" si="15"/>
        <v>8.4841482763492273</v>
      </c>
      <c r="BM22" s="33">
        <f t="shared" si="16"/>
        <v>4.7855007922629058</v>
      </c>
      <c r="BN22" s="33">
        <f t="shared" si="17"/>
        <v>5.4517342175297756</v>
      </c>
      <c r="BO22" s="33">
        <f t="shared" si="18"/>
        <v>4.8961657680911168</v>
      </c>
      <c r="BP22" s="33">
        <f t="shared" si="19"/>
        <v>5.2426668394058789</v>
      </c>
    </row>
    <row r="23" spans="2:68" x14ac:dyDescent="0.2">
      <c r="B23" s="2">
        <v>19</v>
      </c>
      <c r="C23" s="2" t="s">
        <v>47</v>
      </c>
      <c r="D23" s="2" t="s">
        <v>48</v>
      </c>
      <c r="E23" s="2"/>
      <c r="F23" s="2"/>
      <c r="G23" s="2" t="s">
        <v>103</v>
      </c>
      <c r="H23" s="2" t="s">
        <v>103</v>
      </c>
      <c r="I23" s="6">
        <v>53160</v>
      </c>
      <c r="J23" s="6">
        <v>46672</v>
      </c>
      <c r="K23" s="11">
        <v>64616</v>
      </c>
      <c r="L23" s="11">
        <v>69001</v>
      </c>
      <c r="M23" s="6">
        <v>207447</v>
      </c>
      <c r="N23" s="6">
        <v>279499</v>
      </c>
      <c r="O23" s="11">
        <v>359250</v>
      </c>
      <c r="P23" s="11">
        <v>38596</v>
      </c>
      <c r="Q23" s="6">
        <v>83860</v>
      </c>
      <c r="R23" s="6">
        <f>100551+AL23</f>
        <v>106836</v>
      </c>
      <c r="S23" s="11">
        <f>202501+AM23</f>
        <v>208786</v>
      </c>
      <c r="T23" s="11">
        <f>11385+180325</f>
        <v>191710</v>
      </c>
      <c r="U23" s="11">
        <f>103858+AO23</f>
        <v>107795</v>
      </c>
      <c r="V23" s="11">
        <f>106695+AP23</f>
        <v>111953</v>
      </c>
      <c r="W23" s="11">
        <f>69786+AQ23</f>
        <v>75044</v>
      </c>
      <c r="X23" s="11">
        <f>8174+72772</f>
        <v>80946</v>
      </c>
      <c r="Y23" s="11">
        <f>157428+AS23</f>
        <v>158921</v>
      </c>
      <c r="Z23" s="11">
        <f>AT23+164721</f>
        <v>166214</v>
      </c>
      <c r="AA23" s="11">
        <f>142687+AU23</f>
        <v>144180</v>
      </c>
      <c r="AB23" s="11">
        <f>133636+AV23</f>
        <v>135129</v>
      </c>
      <c r="AC23" s="6">
        <v>4402</v>
      </c>
      <c r="AD23" s="6">
        <v>4402</v>
      </c>
      <c r="AE23" s="6">
        <v>4402</v>
      </c>
      <c r="AF23" s="11">
        <v>4350</v>
      </c>
      <c r="AG23" s="6">
        <v>4896</v>
      </c>
      <c r="AH23" s="6">
        <v>4656</v>
      </c>
      <c r="AI23" s="11">
        <v>4508</v>
      </c>
      <c r="AJ23" s="11">
        <v>4325</v>
      </c>
      <c r="AK23" s="6">
        <v>6285</v>
      </c>
      <c r="AL23" s="6">
        <v>6285</v>
      </c>
      <c r="AM23" s="6">
        <v>6285</v>
      </c>
      <c r="AN23" s="6">
        <f>SUMIF('Daftar LQ 45'!$C$5:$C$45,'2023 - 2019'!C23,'Daftar LQ 45'!$W$5:$W$45)</f>
        <v>4896</v>
      </c>
      <c r="AO23" s="6">
        <v>3937</v>
      </c>
      <c r="AP23" s="6">
        <v>5258</v>
      </c>
      <c r="AQ23" s="6">
        <v>5258</v>
      </c>
      <c r="AR23" s="6">
        <f>SUMIF('Daftar LQ 45'!$C$5:$C$45,'2023 - 2019'!C23,'Daftar LQ 45'!$X$5:$X$45)</f>
        <v>6286</v>
      </c>
      <c r="AS23" s="6">
        <v>1493</v>
      </c>
      <c r="AT23" s="6">
        <v>1493</v>
      </c>
      <c r="AU23" s="6">
        <v>1493</v>
      </c>
      <c r="AV23" s="6">
        <v>1493</v>
      </c>
      <c r="AW23" s="33">
        <f t="shared" si="0"/>
        <v>8.2806621519939814</v>
      </c>
      <c r="AX23" s="33">
        <f t="shared" si="1"/>
        <v>9.4317792252314021</v>
      </c>
      <c r="AY23" s="33">
        <f t="shared" si="2"/>
        <v>6.8125541661507985</v>
      </c>
      <c r="AZ23" s="33">
        <f t="shared" si="3"/>
        <v>6.3042564600513034</v>
      </c>
      <c r="BA23" s="33">
        <f t="shared" si="4"/>
        <v>2.36012089834994</v>
      </c>
      <c r="BB23" s="33">
        <f t="shared" si="5"/>
        <v>1.6658378026397234</v>
      </c>
      <c r="BC23" s="33">
        <f t="shared" si="6"/>
        <v>1.2548364648573416</v>
      </c>
      <c r="BD23" s="33">
        <f t="shared" si="7"/>
        <v>11.205824437765571</v>
      </c>
      <c r="BE23" s="33">
        <f t="shared" si="8"/>
        <v>7.4946339136656324</v>
      </c>
      <c r="BF23" s="33">
        <f t="shared" si="9"/>
        <v>5.8828484780411099</v>
      </c>
      <c r="BG23" s="33">
        <f t="shared" si="10"/>
        <v>3.0102593085743297</v>
      </c>
      <c r="BH23" s="33">
        <f t="shared" si="11"/>
        <v>2.5538573887642793</v>
      </c>
      <c r="BI23" s="33">
        <f t="shared" si="12"/>
        <v>3.6523029825131039</v>
      </c>
      <c r="BJ23" s="33">
        <f t="shared" si="13"/>
        <v>4.6966137575589757</v>
      </c>
      <c r="BK23" s="33">
        <f t="shared" si="14"/>
        <v>7.0065561537231495</v>
      </c>
      <c r="BL23" s="33">
        <f t="shared" si="15"/>
        <v>7.7656709411212415</v>
      </c>
      <c r="BM23" s="33">
        <f t="shared" si="16"/>
        <v>0.9394604866568923</v>
      </c>
      <c r="BN23" s="33">
        <f t="shared" si="17"/>
        <v>0.89823961880467351</v>
      </c>
      <c r="BO23" s="33">
        <f t="shared" si="18"/>
        <v>1.0355111665973089</v>
      </c>
      <c r="BP23" s="33">
        <f t="shared" si="19"/>
        <v>1.1048701611053142</v>
      </c>
    </row>
    <row r="24" spans="2:68" x14ac:dyDescent="0.2">
      <c r="B24" s="2">
        <v>20</v>
      </c>
      <c r="C24" s="2" t="s">
        <v>51</v>
      </c>
      <c r="D24" s="2" t="s">
        <v>52</v>
      </c>
      <c r="E24" s="2"/>
      <c r="F24" s="2"/>
      <c r="G24" s="2" t="s">
        <v>103</v>
      </c>
      <c r="H24" s="2" t="s">
        <v>103</v>
      </c>
      <c r="I24" s="6">
        <f>748070+AC24</f>
        <v>876659</v>
      </c>
      <c r="J24" s="6">
        <f>707570+AD24</f>
        <v>826414</v>
      </c>
      <c r="K24" s="11">
        <f>909736+AE24</f>
        <v>1025193</v>
      </c>
      <c r="L24" s="11">
        <f>922121+AF24</f>
        <v>1038370</v>
      </c>
      <c r="M24" s="6">
        <v>1745296</v>
      </c>
      <c r="N24" s="6">
        <f>998856+AH24</f>
        <v>1092440</v>
      </c>
      <c r="O24" s="11">
        <f>710755+AI24</f>
        <v>807549</v>
      </c>
      <c r="P24" s="11">
        <f>697414+AJ24</f>
        <v>828977</v>
      </c>
      <c r="Q24" s="6">
        <f>4638292+2296199</f>
        <v>6934491</v>
      </c>
      <c r="R24" s="6">
        <v>3579668</v>
      </c>
      <c r="S24" s="11">
        <v>5244330</v>
      </c>
      <c r="T24" s="11">
        <f>2127411+1858535</f>
        <v>3985946</v>
      </c>
      <c r="U24" s="11">
        <v>6218295</v>
      </c>
      <c r="V24" s="11">
        <v>6083603</v>
      </c>
      <c r="W24" s="11">
        <v>4632085</v>
      </c>
      <c r="X24" s="11">
        <f>4609522+2232631</f>
        <v>6842153</v>
      </c>
      <c r="Y24" s="11">
        <f>262410288+5881635549</f>
        <v>6144045837</v>
      </c>
      <c r="Z24" s="11">
        <v>6369325</v>
      </c>
      <c r="AA24" s="11">
        <v>7091830</v>
      </c>
      <c r="AB24" s="11">
        <v>6287012</v>
      </c>
      <c r="AC24" s="6">
        <v>128589</v>
      </c>
      <c r="AD24" s="6">
        <v>118844</v>
      </c>
      <c r="AE24" s="11">
        <v>115457</v>
      </c>
      <c r="AF24" s="11">
        <v>116249</v>
      </c>
      <c r="AG24" s="6">
        <v>94005</v>
      </c>
      <c r="AH24" s="6">
        <f>15271+14173+64140</f>
        <v>93584</v>
      </c>
      <c r="AI24" s="11">
        <f>15271+14173+67350</f>
        <v>96794</v>
      </c>
      <c r="AJ24" s="11">
        <v>131563</v>
      </c>
      <c r="AK24" s="6">
        <v>178600</v>
      </c>
      <c r="AL24" s="6">
        <v>203873</v>
      </c>
      <c r="AM24" s="6">
        <v>208733</v>
      </c>
      <c r="AN24" s="6">
        <f>SUMIF('Daftar LQ 45'!$C$5:$C$45,'2023 - 2019'!C24,'Daftar LQ 45'!$W$5:$W$45)</f>
        <v>95105</v>
      </c>
      <c r="AO24" s="6">
        <v>17744</v>
      </c>
      <c r="AP24" s="6">
        <v>18298</v>
      </c>
      <c r="AQ24" s="6">
        <v>14906</v>
      </c>
      <c r="AR24" s="6">
        <f>SUMIF('Daftar LQ 45'!$C$5:$C$45,'2023 - 2019'!C24,'Daftar LQ 45'!$X$5:$X$45)</f>
        <v>191419</v>
      </c>
      <c r="AS24" s="6">
        <v>0</v>
      </c>
      <c r="AT24" s="6">
        <v>17036</v>
      </c>
      <c r="AU24" s="6">
        <v>17036</v>
      </c>
      <c r="AV24" s="6">
        <v>16651</v>
      </c>
      <c r="AW24" s="33">
        <f t="shared" si="0"/>
        <v>14.668075044002284</v>
      </c>
      <c r="AX24" s="33">
        <f t="shared" si="1"/>
        <v>14.380685709583815</v>
      </c>
      <c r="AY24" s="33">
        <f t="shared" si="2"/>
        <v>11.261977013108751</v>
      </c>
      <c r="AZ24" s="33">
        <f t="shared" si="3"/>
        <v>11.19533499619596</v>
      </c>
      <c r="BA24" s="33">
        <f t="shared" si="4"/>
        <v>5.3861923708070147</v>
      </c>
      <c r="BB24" s="33">
        <f t="shared" si="5"/>
        <v>8.5665116619677057</v>
      </c>
      <c r="BC24" s="33">
        <f t="shared" si="6"/>
        <v>11.98614573233327</v>
      </c>
      <c r="BD24" s="33">
        <f t="shared" si="7"/>
        <v>15.870524755210338</v>
      </c>
      <c r="BE24" s="33">
        <f t="shared" si="8"/>
        <v>2.5755314989953844</v>
      </c>
      <c r="BF24" s="33">
        <f t="shared" si="9"/>
        <v>5.6953047042351415</v>
      </c>
      <c r="BG24" s="33">
        <f t="shared" si="10"/>
        <v>3.9801652451314085</v>
      </c>
      <c r="BH24" s="33">
        <f t="shared" si="11"/>
        <v>2.3860082399510678</v>
      </c>
      <c r="BI24" s="33">
        <f t="shared" si="12"/>
        <v>0.2853515312477134</v>
      </c>
      <c r="BJ24" s="33">
        <f t="shared" si="13"/>
        <v>0.3007757080795706</v>
      </c>
      <c r="BK24" s="33">
        <f t="shared" si="14"/>
        <v>0.32179893071910382</v>
      </c>
      <c r="BL24" s="33">
        <f t="shared" si="15"/>
        <v>2.797642788753774</v>
      </c>
      <c r="BM24" s="33">
        <f t="shared" si="16"/>
        <v>0</v>
      </c>
      <c r="BN24" s="33">
        <f t="shared" si="17"/>
        <v>0.26746947282482836</v>
      </c>
      <c r="BO24" s="33">
        <f t="shared" si="18"/>
        <v>0.24022008423777783</v>
      </c>
      <c r="BP24" s="33">
        <f t="shared" si="19"/>
        <v>0.26484759373769284</v>
      </c>
    </row>
    <row r="25" spans="2:68" x14ac:dyDescent="0.2">
      <c r="B25" s="2">
        <v>21</v>
      </c>
      <c r="C25" s="2" t="s">
        <v>53</v>
      </c>
      <c r="D25" s="2" t="s">
        <v>54</v>
      </c>
      <c r="E25" s="2"/>
      <c r="F25" s="2"/>
      <c r="G25" s="2" t="s">
        <v>103</v>
      </c>
      <c r="H25" s="2" t="s">
        <v>103</v>
      </c>
      <c r="I25" s="6">
        <v>5232055309872</v>
      </c>
      <c r="J25" s="6">
        <v>5242587828625</v>
      </c>
      <c r="K25" s="11">
        <v>4980384956105</v>
      </c>
      <c r="L25" s="11">
        <v>33045239535</v>
      </c>
      <c r="M25" s="6">
        <v>3813801937348</v>
      </c>
      <c r="N25" s="6">
        <v>4025506153982</v>
      </c>
      <c r="O25" s="11">
        <v>4304170804872</v>
      </c>
      <c r="P25" s="11">
        <v>4600357637974</v>
      </c>
      <c r="Q25" s="6">
        <v>3773277012474</v>
      </c>
      <c r="R25" s="6">
        <f>3477220762616+AL25</f>
        <v>4502482134908</v>
      </c>
      <c r="S25" s="11">
        <f>3543203039407+AM25</f>
        <v>4597785757981</v>
      </c>
      <c r="T25" s="11">
        <f>3421180523978+34418386272</f>
        <v>3455598910250</v>
      </c>
      <c r="U25" s="11">
        <f>3833729608319+AO25</f>
        <v>4759181745050</v>
      </c>
      <c r="V25" s="11">
        <f>3492781735845+AP25</f>
        <v>4356701502990</v>
      </c>
      <c r="W25" s="11">
        <f>3492017134955+AQ25</f>
        <v>4380939027710</v>
      </c>
      <c r="X25" s="11">
        <f>43173956944+3457939160793</f>
        <v>3501113117737</v>
      </c>
      <c r="Y25" s="11">
        <f>3540431151429+AS25</f>
        <v>3565508327825</v>
      </c>
      <c r="Z25" s="11">
        <f>3664219406164+AT25</f>
        <v>3689152875925</v>
      </c>
      <c r="AA25" s="11">
        <f>3789897516297+AU25</f>
        <v>3814764833413</v>
      </c>
      <c r="AB25" s="11">
        <f>3572854779679+AV25</f>
        <v>3600694721627</v>
      </c>
      <c r="AC25" s="6">
        <v>29156808418</v>
      </c>
      <c r="AD25" s="6">
        <v>31668956213</v>
      </c>
      <c r="AE25" s="11">
        <v>33045239535</v>
      </c>
      <c r="AF25" s="11">
        <v>33045239535</v>
      </c>
      <c r="AG25" s="6">
        <v>24164070610</v>
      </c>
      <c r="AH25" s="6">
        <v>24425649135</v>
      </c>
      <c r="AI25" s="11">
        <v>25277839584</v>
      </c>
      <c r="AJ25" s="11">
        <v>30288261321</v>
      </c>
      <c r="AK25" s="6">
        <v>1018801522055</v>
      </c>
      <c r="AL25" s="6">
        <v>1025261372292</v>
      </c>
      <c r="AM25" s="6">
        <v>1054582718574</v>
      </c>
      <c r="AN25" s="6">
        <f>SUMIF('Daftar LQ 45'!$C$5:$C$45,'2023 - 2019'!C25,'Daftar LQ 45'!$W$5:$W$45)</f>
        <v>24580811037</v>
      </c>
      <c r="AO25" s="6">
        <v>925452136731</v>
      </c>
      <c r="AP25" s="6">
        <v>863919767145</v>
      </c>
      <c r="AQ25" s="6">
        <v>888921892755</v>
      </c>
      <c r="AR25" s="6">
        <f>SUMIF('Daftar LQ 45'!$C$5:$C$45,'2023 - 2019'!C25,'Daftar LQ 45'!$X$5:$X$45)</f>
        <v>23892355121</v>
      </c>
      <c r="AS25" s="6">
        <v>25077176396</v>
      </c>
      <c r="AT25" s="6">
        <v>24933469761</v>
      </c>
      <c r="AU25" s="6">
        <v>24867317116</v>
      </c>
      <c r="AV25" s="6">
        <v>27839941948</v>
      </c>
      <c r="AW25" s="33">
        <f t="shared" si="0"/>
        <v>0.55727255717243762</v>
      </c>
      <c r="AX25" s="33">
        <f t="shared" si="1"/>
        <v>0.60407106658441956</v>
      </c>
      <c r="AY25" s="33">
        <f t="shared" si="2"/>
        <v>0.66350773737867097</v>
      </c>
      <c r="AZ25" s="33">
        <f t="shared" si="3"/>
        <v>100</v>
      </c>
      <c r="BA25" s="33">
        <f t="shared" si="4"/>
        <v>0.63359532054784551</v>
      </c>
      <c r="BB25" s="33">
        <f t="shared" si="5"/>
        <v>0.60677212257738899</v>
      </c>
      <c r="BC25" s="33">
        <f t="shared" si="6"/>
        <v>0.58728709268199519</v>
      </c>
      <c r="BD25" s="33">
        <f t="shared" si="7"/>
        <v>0.65838927545509196</v>
      </c>
      <c r="BE25" s="33">
        <f t="shared" si="8"/>
        <v>27.000443346379409</v>
      </c>
      <c r="BF25" s="33">
        <f t="shared" si="9"/>
        <v>22.771025882436941</v>
      </c>
      <c r="BG25" s="33">
        <f t="shared" si="10"/>
        <v>22.93675203859636</v>
      </c>
      <c r="BH25" s="33">
        <f t="shared" si="11"/>
        <v>0.71133287384969301</v>
      </c>
      <c r="BI25" s="33">
        <f t="shared" si="12"/>
        <v>19.445614525933117</v>
      </c>
      <c r="BJ25" s="33">
        <f t="shared" si="13"/>
        <v>19.829675421923966</v>
      </c>
      <c r="BK25" s="33">
        <f t="shared" si="14"/>
        <v>20.290670268005449</v>
      </c>
      <c r="BL25" s="33">
        <f t="shared" si="15"/>
        <v>0.68242168469104481</v>
      </c>
      <c r="BM25" s="33">
        <f t="shared" si="16"/>
        <v>0.70332682160070448</v>
      </c>
      <c r="BN25" s="33">
        <f t="shared" si="17"/>
        <v>0.67585894647286215</v>
      </c>
      <c r="BO25" s="33">
        <f t="shared" si="18"/>
        <v>0.6518702515602165</v>
      </c>
      <c r="BP25" s="33">
        <f t="shared" si="19"/>
        <v>0.77318251338509258</v>
      </c>
    </row>
    <row r="26" spans="2:68" x14ac:dyDescent="0.2">
      <c r="B26" s="2">
        <v>22</v>
      </c>
      <c r="C26" s="2" t="s">
        <v>61</v>
      </c>
      <c r="D26" s="2" t="s">
        <v>62</v>
      </c>
      <c r="E26" s="2"/>
      <c r="F26" s="2"/>
      <c r="G26" s="2" t="s">
        <v>103</v>
      </c>
      <c r="H26" s="2" t="s">
        <v>103</v>
      </c>
      <c r="I26" s="6">
        <v>3053642</v>
      </c>
      <c r="J26" s="6">
        <v>3059476</v>
      </c>
      <c r="K26" s="11">
        <v>3056989</v>
      </c>
      <c r="L26" s="11">
        <v>3052134</v>
      </c>
      <c r="M26" s="6">
        <v>2972159</v>
      </c>
      <c r="N26" s="6">
        <v>2979097</v>
      </c>
      <c r="O26" s="11">
        <v>3025342</v>
      </c>
      <c r="P26" s="11">
        <v>3060237</v>
      </c>
      <c r="Q26" s="6">
        <v>3025616</v>
      </c>
      <c r="R26" s="6">
        <v>3197915</v>
      </c>
      <c r="S26" s="11">
        <v>3019364</v>
      </c>
      <c r="T26" s="11">
        <f>81280+465044</f>
        <v>546324</v>
      </c>
      <c r="U26" s="11">
        <v>3124693</v>
      </c>
      <c r="V26" s="11">
        <v>3165115</v>
      </c>
      <c r="W26" s="11">
        <v>2852053</v>
      </c>
      <c r="X26" s="11">
        <f>94649+339719</f>
        <v>434368</v>
      </c>
      <c r="Y26" s="11">
        <v>2876529</v>
      </c>
      <c r="Z26" s="11">
        <f>2841137+AT26</f>
        <v>2886126</v>
      </c>
      <c r="AA26" s="11">
        <f>2818656+AU26</f>
        <v>2863645</v>
      </c>
      <c r="AB26" s="11">
        <v>2961866</v>
      </c>
      <c r="AC26" s="6">
        <v>64544</v>
      </c>
      <c r="AD26" s="6">
        <v>64544</v>
      </c>
      <c r="AE26" s="11">
        <v>64544</v>
      </c>
      <c r="AF26" s="11">
        <v>64544</v>
      </c>
      <c r="AG26" s="6">
        <v>61164</v>
      </c>
      <c r="AH26" s="6">
        <v>61164</v>
      </c>
      <c r="AI26" s="11">
        <v>61164</v>
      </c>
      <c r="AJ26" s="11">
        <v>61164</v>
      </c>
      <c r="AK26" s="6">
        <v>3287</v>
      </c>
      <c r="AL26" s="6">
        <v>3274</v>
      </c>
      <c r="AM26" s="6">
        <v>3274</v>
      </c>
      <c r="AN26" s="6">
        <f>SUMIF('Daftar LQ 45'!$C$5:$C$45,'2023 - 2019'!C26,'Daftar LQ 45'!$W$5:$W$45)</f>
        <v>1196</v>
      </c>
      <c r="AO26" s="6">
        <v>3287</v>
      </c>
      <c r="AP26" s="6">
        <v>3287</v>
      </c>
      <c r="AQ26" s="6">
        <v>3287</v>
      </c>
      <c r="AR26" s="6">
        <f>SUMIF('Daftar LQ 45'!$C$5:$C$45,'2023 - 2019'!C26,'Daftar LQ 45'!$X$5:$X$45)</f>
        <v>1196</v>
      </c>
      <c r="AS26" s="6">
        <v>44989</v>
      </c>
      <c r="AT26" s="6">
        <v>44989</v>
      </c>
      <c r="AU26" s="6">
        <v>44989</v>
      </c>
      <c r="AV26" s="6">
        <v>44989</v>
      </c>
      <c r="AW26" s="33">
        <f t="shared" si="0"/>
        <v>2.1136727881002422</v>
      </c>
      <c r="AX26" s="33">
        <f t="shared" si="1"/>
        <v>2.1096423047606847</v>
      </c>
      <c r="AY26" s="33">
        <f t="shared" si="2"/>
        <v>2.1113585950096647</v>
      </c>
      <c r="AZ26" s="33">
        <f t="shared" si="3"/>
        <v>2.1147171126824706</v>
      </c>
      <c r="BA26" s="33">
        <f t="shared" si="4"/>
        <v>2.0578979792130907</v>
      </c>
      <c r="BB26" s="33">
        <f t="shared" si="5"/>
        <v>2.0531053537363837</v>
      </c>
      <c r="BC26" s="33">
        <f t="shared" si="6"/>
        <v>2.0217218416959137</v>
      </c>
      <c r="BD26" s="33">
        <f t="shared" si="7"/>
        <v>1.9986687305591038</v>
      </c>
      <c r="BE26" s="33">
        <f t="shared" si="8"/>
        <v>0.10863903416692666</v>
      </c>
      <c r="BF26" s="33">
        <f t="shared" si="9"/>
        <v>0.10237920645170369</v>
      </c>
      <c r="BG26" s="33">
        <f t="shared" si="10"/>
        <v>0.10843343167633979</v>
      </c>
      <c r="BH26" s="33">
        <f t="shared" si="11"/>
        <v>0.21891771183400327</v>
      </c>
      <c r="BI26" s="33">
        <f t="shared" si="12"/>
        <v>0.10519433429140078</v>
      </c>
      <c r="BJ26" s="33">
        <f t="shared" si="13"/>
        <v>0.10385088693459796</v>
      </c>
      <c r="BK26" s="33">
        <f t="shared" si="14"/>
        <v>0.1152503126695051</v>
      </c>
      <c r="BL26" s="33">
        <f t="shared" si="15"/>
        <v>0.27534256667157803</v>
      </c>
      <c r="BM26" s="33">
        <f t="shared" si="16"/>
        <v>1.5640030050105527</v>
      </c>
      <c r="BN26" s="33">
        <f t="shared" si="17"/>
        <v>1.5588023530504214</v>
      </c>
      <c r="BO26" s="33">
        <f t="shared" si="18"/>
        <v>1.5710397063881869</v>
      </c>
      <c r="BP26" s="33">
        <f t="shared" si="19"/>
        <v>1.5189410999687358</v>
      </c>
    </row>
    <row r="27" spans="2:68" x14ac:dyDescent="0.2">
      <c r="B27" s="2">
        <v>23</v>
      </c>
      <c r="C27" s="2" t="s">
        <v>63</v>
      </c>
      <c r="D27" s="2" t="s">
        <v>64</v>
      </c>
      <c r="E27" s="2"/>
      <c r="F27" s="2"/>
      <c r="G27" s="2" t="s">
        <v>103</v>
      </c>
      <c r="H27" s="2" t="s">
        <v>103</v>
      </c>
      <c r="I27" s="6">
        <v>437233298</v>
      </c>
      <c r="J27" s="6">
        <v>434888534</v>
      </c>
      <c r="K27" s="11">
        <v>463273335</v>
      </c>
      <c r="L27" s="11">
        <v>439066165</v>
      </c>
      <c r="M27" s="6">
        <v>419674412</v>
      </c>
      <c r="N27" s="6">
        <v>490992617</v>
      </c>
      <c r="O27" s="11">
        <v>494521992</v>
      </c>
      <c r="P27" s="11">
        <v>406907975</v>
      </c>
      <c r="Q27" s="6">
        <v>750010545</v>
      </c>
      <c r="R27" s="6">
        <v>676722174</v>
      </c>
      <c r="S27" s="11">
        <v>672652093</v>
      </c>
      <c r="T27" s="11">
        <v>604665483</v>
      </c>
      <c r="U27" s="11">
        <v>724051808</v>
      </c>
      <c r="V27" s="11">
        <v>652061915</v>
      </c>
      <c r="W27" s="11">
        <v>619432467</v>
      </c>
      <c r="X27" s="11">
        <v>655986519</v>
      </c>
      <c r="Y27" s="11">
        <v>626144672</v>
      </c>
      <c r="Z27" s="11">
        <v>657708105</v>
      </c>
      <c r="AA27" s="11">
        <v>673759087</v>
      </c>
      <c r="AB27" s="11">
        <v>619695416</v>
      </c>
      <c r="AC27" s="6">
        <v>116601486</v>
      </c>
      <c r="AD27" s="6">
        <v>124370920</v>
      </c>
      <c r="AE27" s="11">
        <v>124449226</v>
      </c>
      <c r="AF27" s="11">
        <v>125122445</v>
      </c>
      <c r="AG27" s="6">
        <v>102814121</v>
      </c>
      <c r="AH27" s="6">
        <v>105078832</v>
      </c>
      <c r="AI27" s="11">
        <v>104473289</v>
      </c>
      <c r="AJ27" s="11">
        <v>117264734</v>
      </c>
      <c r="AK27" s="6">
        <v>108764237</v>
      </c>
      <c r="AL27" s="6">
        <v>112197118</v>
      </c>
      <c r="AM27" s="6">
        <v>11175716</v>
      </c>
      <c r="AN27" s="6">
        <f>SUMIF('Daftar LQ 45'!$C$5:$C$45,'2023 - 2019'!C27,'Daftar LQ 45'!$W$5:$W$45)</f>
        <v>131934092</v>
      </c>
      <c r="AO27" s="6">
        <v>102025098</v>
      </c>
      <c r="AP27" s="6">
        <v>108192132</v>
      </c>
      <c r="AQ27" s="6">
        <v>104191400</v>
      </c>
      <c r="AR27" s="6">
        <f>SUMIF('Daftar LQ 45'!$C$5:$C$45,'2023 - 2019'!C27,'Daftar LQ 45'!$X$5:$X$45)</f>
        <v>109197477</v>
      </c>
      <c r="AS27" s="6">
        <v>46767765.149999999</v>
      </c>
      <c r="AT27" s="6">
        <v>88972050</v>
      </c>
      <c r="AU27" s="6">
        <v>85094657</v>
      </c>
      <c r="AV27" s="6">
        <v>110175964</v>
      </c>
      <c r="AW27" s="33">
        <f t="shared" si="0"/>
        <v>26.668025178631293</v>
      </c>
      <c r="AX27" s="33">
        <f t="shared" si="1"/>
        <v>28.598344236870592</v>
      </c>
      <c r="AY27" s="33">
        <f t="shared" si="2"/>
        <v>26.863023748172338</v>
      </c>
      <c r="AZ27" s="33">
        <f t="shared" si="3"/>
        <v>28.497400841624859</v>
      </c>
      <c r="BA27" s="33">
        <f t="shared" si="4"/>
        <v>24.498544123771833</v>
      </c>
      <c r="BB27" s="33">
        <f t="shared" si="5"/>
        <v>21.401305918210987</v>
      </c>
      <c r="BC27" s="33">
        <f t="shared" si="6"/>
        <v>21.126115863417454</v>
      </c>
      <c r="BD27" s="33">
        <f t="shared" si="7"/>
        <v>28.81848997921459</v>
      </c>
      <c r="BE27" s="33">
        <f t="shared" si="8"/>
        <v>14.501694372843785</v>
      </c>
      <c r="BF27" s="33">
        <f t="shared" si="9"/>
        <v>16.579494851900627</v>
      </c>
      <c r="BG27" s="33">
        <f t="shared" si="10"/>
        <v>1.661440753147259</v>
      </c>
      <c r="BH27" s="33">
        <f t="shared" si="11"/>
        <v>21.819352304586566</v>
      </c>
      <c r="BI27" s="33">
        <f t="shared" si="12"/>
        <v>14.090856051007886</v>
      </c>
      <c r="BJ27" s="33">
        <f t="shared" si="13"/>
        <v>16.59230964286574</v>
      </c>
      <c r="BK27" s="33">
        <f t="shared" si="14"/>
        <v>16.820461559694124</v>
      </c>
      <c r="BL27" s="33">
        <f t="shared" si="15"/>
        <v>16.646298946274534</v>
      </c>
      <c r="BM27" s="33">
        <f t="shared" si="16"/>
        <v>7.4691628374983594</v>
      </c>
      <c r="BN27" s="33">
        <f t="shared" si="17"/>
        <v>13.527589111890299</v>
      </c>
      <c r="BO27" s="33">
        <f t="shared" si="18"/>
        <v>12.62983440845229</v>
      </c>
      <c r="BP27" s="33">
        <f t="shared" si="19"/>
        <v>17.779050991075913</v>
      </c>
    </row>
    <row r="28" spans="2:68" x14ac:dyDescent="0.2">
      <c r="B28" s="2">
        <v>24</v>
      </c>
      <c r="C28" s="2" t="s">
        <v>65</v>
      </c>
      <c r="D28" s="2" t="s">
        <v>66</v>
      </c>
      <c r="E28" s="2"/>
      <c r="F28" s="2"/>
      <c r="G28" s="2" t="s">
        <v>103</v>
      </c>
      <c r="H28" s="2" t="s">
        <v>103</v>
      </c>
      <c r="I28" s="6">
        <v>1729682</v>
      </c>
      <c r="J28" s="6">
        <v>1483642</v>
      </c>
      <c r="K28" s="11">
        <v>2904147</v>
      </c>
      <c r="L28" s="11">
        <v>4137341</v>
      </c>
      <c r="M28" s="6">
        <v>2448881</v>
      </c>
      <c r="N28" s="6">
        <v>1177190</v>
      </c>
      <c r="O28" s="11">
        <v>1475671</v>
      </c>
      <c r="P28" s="11">
        <v>1632000</v>
      </c>
      <c r="Q28" s="6">
        <v>2520111</v>
      </c>
      <c r="R28" s="6">
        <v>4037832</v>
      </c>
      <c r="S28" s="11">
        <v>4477014</v>
      </c>
      <c r="T28" s="11">
        <v>3739210</v>
      </c>
      <c r="U28" s="11">
        <v>2930927</v>
      </c>
      <c r="V28" s="11">
        <v>2098592</v>
      </c>
      <c r="W28" s="11">
        <v>2037741</v>
      </c>
      <c r="X28" s="11">
        <v>2215258</v>
      </c>
      <c r="Y28" s="11">
        <v>2799267</v>
      </c>
      <c r="Z28" s="11">
        <v>2884260</v>
      </c>
      <c r="AA28" s="11">
        <v>2896734</v>
      </c>
      <c r="AB28" s="11">
        <v>2920964</v>
      </c>
      <c r="AC28" s="6">
        <v>96493</v>
      </c>
      <c r="AD28" s="6">
        <v>95948</v>
      </c>
      <c r="AE28" s="11">
        <v>97282</v>
      </c>
      <c r="AF28" s="11">
        <v>151778</v>
      </c>
      <c r="AG28" s="6">
        <v>221237</v>
      </c>
      <c r="AH28" s="6">
        <v>228206</v>
      </c>
      <c r="AI28" s="11">
        <v>223163</v>
      </c>
      <c r="AJ28" s="11">
        <v>97638</v>
      </c>
      <c r="AK28" s="6">
        <v>226092</v>
      </c>
      <c r="AL28" s="6">
        <v>227188</v>
      </c>
      <c r="AM28" s="6">
        <v>229418</v>
      </c>
      <c r="AN28" s="6">
        <f>SUMIF('Daftar LQ 45'!$C$5:$C$45,'2023 - 2019'!C28,'Daftar LQ 45'!$W$5:$W$45)</f>
        <v>225534</v>
      </c>
      <c r="AO28" s="6">
        <v>200349</v>
      </c>
      <c r="AP28" s="6">
        <v>285040</v>
      </c>
      <c r="AQ28" s="6">
        <v>285772</v>
      </c>
      <c r="AR28" s="6">
        <f>SUMIF('Daftar LQ 45'!$C$5:$C$45,'2023 - 2019'!C28,'Daftar LQ 45'!$X$5:$X$45)</f>
        <v>229641</v>
      </c>
      <c r="AS28" s="6">
        <v>80952</v>
      </c>
      <c r="AT28" s="6">
        <v>135728</v>
      </c>
      <c r="AU28" s="6">
        <v>153567</v>
      </c>
      <c r="AV28" s="6">
        <v>197262</v>
      </c>
      <c r="AW28" s="33">
        <f t="shared" si="0"/>
        <v>5.5786554985251628</v>
      </c>
      <c r="AX28" s="33">
        <f t="shared" si="1"/>
        <v>6.4670587648502806</v>
      </c>
      <c r="AY28" s="33">
        <f t="shared" si="2"/>
        <v>3.349761565099838</v>
      </c>
      <c r="AZ28" s="33">
        <f t="shared" si="3"/>
        <v>3.6684914296404378</v>
      </c>
      <c r="BA28" s="33">
        <f t="shared" si="4"/>
        <v>9.0342078688184522</v>
      </c>
      <c r="BB28" s="33">
        <f t="shared" si="5"/>
        <v>19.385655671556844</v>
      </c>
      <c r="BC28" s="33">
        <f t="shared" si="6"/>
        <v>15.122815315880031</v>
      </c>
      <c r="BD28" s="33">
        <f t="shared" si="7"/>
        <v>5.9827205882352938</v>
      </c>
      <c r="BE28" s="33">
        <f t="shared" si="8"/>
        <v>8.9715095882681357</v>
      </c>
      <c r="BF28" s="33">
        <f t="shared" si="9"/>
        <v>5.6264847076351865</v>
      </c>
      <c r="BG28" s="33">
        <f t="shared" si="10"/>
        <v>5.12435297276265</v>
      </c>
      <c r="BH28" s="33">
        <f t="shared" si="11"/>
        <v>6.031594909085074</v>
      </c>
      <c r="BI28" s="33">
        <f t="shared" si="12"/>
        <v>6.8356871392566241</v>
      </c>
      <c r="BJ28" s="33">
        <f t="shared" si="13"/>
        <v>13.582440035986032</v>
      </c>
      <c r="BK28" s="33">
        <f t="shared" si="14"/>
        <v>14.023960846839712</v>
      </c>
      <c r="BL28" s="33">
        <f t="shared" si="15"/>
        <v>10.366332048005242</v>
      </c>
      <c r="BM28" s="33">
        <f t="shared" si="16"/>
        <v>2.8918999152278078</v>
      </c>
      <c r="BN28" s="33">
        <f t="shared" si="17"/>
        <v>4.7058170899988214</v>
      </c>
      <c r="BO28" s="33">
        <f t="shared" si="18"/>
        <v>5.3013842486054985</v>
      </c>
      <c r="BP28" s="33">
        <f t="shared" si="19"/>
        <v>6.753318425013112</v>
      </c>
    </row>
    <row r="29" spans="2:68" x14ac:dyDescent="0.2">
      <c r="B29" s="2">
        <v>25</v>
      </c>
      <c r="C29" s="2" t="s">
        <v>67</v>
      </c>
      <c r="D29" s="2" t="s">
        <v>68</v>
      </c>
      <c r="E29" s="2"/>
      <c r="F29" s="2"/>
      <c r="G29" s="2" t="s">
        <v>103</v>
      </c>
      <c r="H29" s="2" t="s">
        <v>103</v>
      </c>
      <c r="I29" s="6">
        <v>7648414664806</v>
      </c>
      <c r="J29" s="6">
        <v>7214599990554</v>
      </c>
      <c r="K29" s="11">
        <v>7626877091636</v>
      </c>
      <c r="L29" s="11">
        <v>7793944284176</v>
      </c>
      <c r="M29" s="6">
        <v>6163425220608</v>
      </c>
      <c r="N29" s="6">
        <v>6814789398736</v>
      </c>
      <c r="O29" s="11">
        <v>6846444512581</v>
      </c>
      <c r="P29" s="11">
        <v>6841468449782</v>
      </c>
      <c r="Q29" s="6">
        <v>7446458755377</v>
      </c>
      <c r="R29" s="6">
        <v>8071191038686</v>
      </c>
      <c r="S29" s="11">
        <v>8649964409380</v>
      </c>
      <c r="T29" s="11">
        <v>7305897385196</v>
      </c>
      <c r="U29" s="11">
        <v>6616363787777</v>
      </c>
      <c r="V29" s="11">
        <v>6827601134007</v>
      </c>
      <c r="W29" s="11">
        <v>6583977438853</v>
      </c>
      <c r="X29" s="11">
        <v>6186424170400</v>
      </c>
      <c r="Y29" s="11">
        <v>10361984665524</v>
      </c>
      <c r="Z29" s="11">
        <v>10876885224158</v>
      </c>
      <c r="AA29" s="11">
        <v>11407138974961</v>
      </c>
      <c r="AB29" s="11">
        <v>4888850091520</v>
      </c>
      <c r="AC29" s="6">
        <v>542378981558</v>
      </c>
      <c r="AD29" s="6">
        <v>540151995657</v>
      </c>
      <c r="AE29" s="11">
        <v>557127273008</v>
      </c>
      <c r="AF29" s="11">
        <v>1110729736539</v>
      </c>
      <c r="AG29" s="6">
        <v>402995511038</v>
      </c>
      <c r="AH29" s="6">
        <v>412994020679</v>
      </c>
      <c r="AI29" s="11">
        <v>412539597146</v>
      </c>
      <c r="AJ29" s="11">
        <v>488883585746</v>
      </c>
      <c r="AK29" s="6">
        <v>1018801522055</v>
      </c>
      <c r="AL29" s="6">
        <v>1025261372292</v>
      </c>
      <c r="AM29" s="6">
        <v>1054582718574</v>
      </c>
      <c r="AN29" s="6">
        <v>1078803775641</v>
      </c>
      <c r="AO29" s="6">
        <v>892248807182</v>
      </c>
      <c r="AP29" s="6">
        <v>863919767145</v>
      </c>
      <c r="AQ29" s="6">
        <v>888921892755</v>
      </c>
      <c r="AR29" s="6">
        <v>991639721245</v>
      </c>
      <c r="AS29" s="6">
        <v>216818991734</v>
      </c>
      <c r="AT29" s="6">
        <v>227256383720</v>
      </c>
      <c r="AU29" s="6">
        <v>248697208612</v>
      </c>
      <c r="AV29" s="6">
        <v>262474865493</v>
      </c>
      <c r="AW29" s="33">
        <f t="shared" si="0"/>
        <v>7.09139090030963</v>
      </c>
      <c r="AX29" s="33">
        <f t="shared" si="1"/>
        <v>7.4869292318938729</v>
      </c>
      <c r="AY29" s="33">
        <f t="shared" si="2"/>
        <v>7.3047889236208166</v>
      </c>
      <c r="AZ29" s="33">
        <f t="shared" si="3"/>
        <v>14.251189077577935</v>
      </c>
      <c r="BA29" s="33">
        <f t="shared" si="4"/>
        <v>6.5384992372511652</v>
      </c>
      <c r="BB29" s="33">
        <f t="shared" si="5"/>
        <v>6.0602609488651504</v>
      </c>
      <c r="BC29" s="33">
        <f t="shared" si="6"/>
        <v>6.0256034557487297</v>
      </c>
      <c r="BD29" s="33">
        <f t="shared" si="7"/>
        <v>7.1458867249702518</v>
      </c>
      <c r="BE29" s="33">
        <f t="shared" si="8"/>
        <v>13.681691600310488</v>
      </c>
      <c r="BF29" s="33">
        <f t="shared" si="9"/>
        <v>12.702727111498453</v>
      </c>
      <c r="BG29" s="33">
        <f t="shared" si="10"/>
        <v>12.191757892441881</v>
      </c>
      <c r="BH29" s="33">
        <f t="shared" si="11"/>
        <v>14.766204872066627</v>
      </c>
      <c r="BI29" s="33">
        <f t="shared" si="12"/>
        <v>13.485485922499166</v>
      </c>
      <c r="BJ29" s="33">
        <f t="shared" si="13"/>
        <v>12.653342662944645</v>
      </c>
      <c r="BK29" s="33">
        <f t="shared" si="14"/>
        <v>13.501290078993039</v>
      </c>
      <c r="BL29" s="33">
        <f t="shared" si="15"/>
        <v>16.029287580855982</v>
      </c>
      <c r="BM29" s="33">
        <f t="shared" si="16"/>
        <v>2.0924465605068101</v>
      </c>
      <c r="BN29" s="33">
        <f t="shared" si="17"/>
        <v>2.0893516759306645</v>
      </c>
      <c r="BO29" s="33">
        <f t="shared" si="18"/>
        <v>2.1801891706403995</v>
      </c>
      <c r="BP29" s="33">
        <f t="shared" si="19"/>
        <v>5.3688466731323627</v>
      </c>
    </row>
    <row r="30" spans="2:68" x14ac:dyDescent="0.2">
      <c r="B30" s="2">
        <v>26</v>
      </c>
      <c r="C30" s="2" t="s">
        <v>71</v>
      </c>
      <c r="D30" s="2" t="s">
        <v>72</v>
      </c>
      <c r="E30" s="2"/>
      <c r="F30" s="2"/>
      <c r="G30" s="2" t="s">
        <v>103</v>
      </c>
      <c r="H30" s="2" t="s">
        <v>103</v>
      </c>
      <c r="I30" s="6">
        <v>4706434</v>
      </c>
      <c r="J30" s="6">
        <v>4853750</v>
      </c>
      <c r="K30" s="11">
        <v>5759927</v>
      </c>
      <c r="L30" s="11">
        <v>6108466</v>
      </c>
      <c r="M30" s="6">
        <v>5107707</v>
      </c>
      <c r="N30" s="6">
        <v>4097337</v>
      </c>
      <c r="O30" s="11">
        <v>4594128</v>
      </c>
      <c r="P30" s="11">
        <v>5782551</v>
      </c>
      <c r="Q30" s="6">
        <v>6555099</v>
      </c>
      <c r="R30" s="6">
        <v>6175644</v>
      </c>
      <c r="S30" s="11">
        <v>6510957</v>
      </c>
      <c r="T30" s="11">
        <v>6454652</v>
      </c>
      <c r="U30" s="11">
        <f>5861452+AO30</f>
        <v>6259097</v>
      </c>
      <c r="V30" s="11">
        <v>5960883</v>
      </c>
      <c r="W30" s="11">
        <v>6510957</v>
      </c>
      <c r="X30" s="11">
        <v>6568427</v>
      </c>
      <c r="Y30" s="11">
        <f>6253068326+AS30</f>
        <v>6459836880</v>
      </c>
      <c r="Z30" s="11">
        <f>5956183730+AT30</f>
        <v>6177095840</v>
      </c>
      <c r="AA30" s="11">
        <f>7036936603+AU30</f>
        <v>7266637781</v>
      </c>
      <c r="AB30" s="11">
        <v>6877024</v>
      </c>
      <c r="AC30" s="6">
        <v>1137630</v>
      </c>
      <c r="AD30" s="6">
        <v>1045181</v>
      </c>
      <c r="AE30" s="11">
        <v>1043869</v>
      </c>
      <c r="AF30" s="11">
        <v>1088290</v>
      </c>
      <c r="AG30" s="6">
        <v>817454</v>
      </c>
      <c r="AH30" s="6">
        <v>816460</v>
      </c>
      <c r="AI30" s="11">
        <v>803840</v>
      </c>
      <c r="AJ30" s="11">
        <v>1143149</v>
      </c>
      <c r="AK30" s="6">
        <v>765002</v>
      </c>
      <c r="AL30" s="6">
        <v>820623</v>
      </c>
      <c r="AM30" s="6">
        <v>579419</v>
      </c>
      <c r="AN30" s="6">
        <f>SUMIF('Daftar LQ 45'!$C$5:$C$45,'2023 - 2019'!C30,'Daftar LQ 45'!$W$5:$W$45)</f>
        <v>941820</v>
      </c>
      <c r="AO30" s="6">
        <v>397645</v>
      </c>
      <c r="AP30" s="6">
        <v>387454</v>
      </c>
      <c r="AQ30" s="6">
        <v>579419</v>
      </c>
      <c r="AR30" s="6">
        <f>SUMIF('Daftar LQ 45'!$C$5:$C$45,'2023 - 2019'!C30,'Daftar LQ 45'!$X$5:$X$45)</f>
        <v>791173</v>
      </c>
      <c r="AS30" s="6">
        <v>206768554</v>
      </c>
      <c r="AT30" s="6">
        <v>220912110</v>
      </c>
      <c r="AU30" s="6">
        <v>229701178</v>
      </c>
      <c r="AV30" s="6">
        <v>387163</v>
      </c>
      <c r="AW30" s="33">
        <f t="shared" si="0"/>
        <v>24.171803960280755</v>
      </c>
      <c r="AX30" s="33">
        <f t="shared" si="1"/>
        <v>21.533474117950039</v>
      </c>
      <c r="AY30" s="33">
        <f t="shared" si="2"/>
        <v>18.122955377733085</v>
      </c>
      <c r="AZ30" s="33">
        <f t="shared" si="3"/>
        <v>17.816093271207535</v>
      </c>
      <c r="BA30" s="33">
        <f t="shared" si="4"/>
        <v>16.004324445392033</v>
      </c>
      <c r="BB30" s="33">
        <f t="shared" si="5"/>
        <v>19.926601107011702</v>
      </c>
      <c r="BC30" s="33">
        <f t="shared" si="6"/>
        <v>17.49711806027172</v>
      </c>
      <c r="BD30" s="33">
        <f t="shared" si="7"/>
        <v>19.768939348740719</v>
      </c>
      <c r="BE30" s="33">
        <f t="shared" si="8"/>
        <v>11.670334803486568</v>
      </c>
      <c r="BF30" s="33">
        <f t="shared" si="9"/>
        <v>13.288055464336997</v>
      </c>
      <c r="BG30" s="33">
        <f t="shared" si="10"/>
        <v>8.8991372543237492</v>
      </c>
      <c r="BH30" s="33">
        <f t="shared" si="11"/>
        <v>14.591336604978858</v>
      </c>
      <c r="BI30" s="33">
        <f t="shared" si="12"/>
        <v>6.3530729752231032</v>
      </c>
      <c r="BJ30" s="33">
        <f t="shared" si="13"/>
        <v>6.4999430453508307</v>
      </c>
      <c r="BK30" s="33">
        <f t="shared" si="14"/>
        <v>8.8991372543237492</v>
      </c>
      <c r="BL30" s="33">
        <f t="shared" si="15"/>
        <v>12.045090856608439</v>
      </c>
      <c r="BM30" s="33">
        <f t="shared" si="16"/>
        <v>3.2008324334034888</v>
      </c>
      <c r="BN30" s="33">
        <f t="shared" si="17"/>
        <v>3.5763102228311876</v>
      </c>
      <c r="BO30" s="33">
        <f t="shared" si="18"/>
        <v>3.1610379507369584</v>
      </c>
      <c r="BP30" s="33">
        <f t="shared" si="19"/>
        <v>5.6298044037653501</v>
      </c>
    </row>
    <row r="31" spans="2:68" x14ac:dyDescent="0.2">
      <c r="B31" s="2">
        <v>27</v>
      </c>
      <c r="C31" s="2" t="s">
        <v>79</v>
      </c>
      <c r="D31" s="2" t="s">
        <v>80</v>
      </c>
      <c r="E31" s="2"/>
      <c r="F31" s="2"/>
      <c r="G31" s="2" t="s">
        <v>103</v>
      </c>
      <c r="H31" s="2" t="s">
        <v>103</v>
      </c>
      <c r="I31" s="6">
        <v>14471</v>
      </c>
      <c r="J31" s="6">
        <v>14971</v>
      </c>
      <c r="K31" s="11">
        <v>14814</v>
      </c>
      <c r="L31" s="11">
        <v>15127</v>
      </c>
      <c r="M31" s="6">
        <v>15021</v>
      </c>
      <c r="N31" s="6">
        <v>15166</v>
      </c>
      <c r="O31" s="11">
        <v>15229</v>
      </c>
      <c r="P31" s="11">
        <v>13501</v>
      </c>
      <c r="Q31" s="6">
        <v>20886</v>
      </c>
      <c r="R31" s="6">
        <v>20216</v>
      </c>
      <c r="S31" s="11">
        <v>20302</v>
      </c>
      <c r="T31" s="11">
        <v>16312</v>
      </c>
      <c r="U31" s="11">
        <v>21936</v>
      </c>
      <c r="V31" s="11">
        <v>22608</v>
      </c>
      <c r="W31" s="11">
        <v>20393</v>
      </c>
      <c r="X31" s="11">
        <v>19699</v>
      </c>
      <c r="Y31" s="11">
        <v>20199</v>
      </c>
      <c r="Z31" s="11">
        <v>21372</v>
      </c>
      <c r="AA31" s="11">
        <v>21298</v>
      </c>
      <c r="AB31" s="11">
        <v>18000</v>
      </c>
      <c r="AC31" s="6">
        <v>6514</v>
      </c>
      <c r="AD31" s="6">
        <v>6583</v>
      </c>
      <c r="AE31" s="11">
        <v>6601</v>
      </c>
      <c r="AF31" s="11">
        <v>6378</v>
      </c>
      <c r="AG31" s="6">
        <v>7069</v>
      </c>
      <c r="AH31" s="6">
        <v>6871</v>
      </c>
      <c r="AI31" s="11">
        <v>7034</v>
      </c>
      <c r="AJ31" s="11">
        <v>6487</v>
      </c>
      <c r="AK31" s="6">
        <v>8506</v>
      </c>
      <c r="AL31" s="6">
        <v>9017</v>
      </c>
      <c r="AM31" s="6">
        <v>9029</v>
      </c>
      <c r="AN31" s="6">
        <f>SUMIF('Daftar LQ 45'!$C$5:$C$45,'2023 - 2019'!C31,'Daftar LQ 45'!$W$5:$W$45)</f>
        <v>7802</v>
      </c>
      <c r="AO31" s="6">
        <v>7039</v>
      </c>
      <c r="AP31" s="6">
        <v>7369</v>
      </c>
      <c r="AQ31" s="6">
        <v>7672</v>
      </c>
      <c r="AR31" s="6">
        <f>SUMIF('Daftar LQ 45'!$C$5:$C$45,'2023 - 2019'!C31,'Daftar LQ 45'!$X$5:$X$45)</f>
        <v>8360</v>
      </c>
      <c r="AS31" s="6">
        <v>5523</v>
      </c>
      <c r="AT31" s="6">
        <v>6141</v>
      </c>
      <c r="AU31" s="6">
        <v>6918</v>
      </c>
      <c r="AV31" s="6">
        <v>6203</v>
      </c>
      <c r="AW31" s="33">
        <f t="shared" si="0"/>
        <v>45.014166263561606</v>
      </c>
      <c r="AX31" s="33">
        <f t="shared" si="1"/>
        <v>43.971678578585269</v>
      </c>
      <c r="AY31" s="33">
        <f t="shared" si="2"/>
        <v>44.559200756041584</v>
      </c>
      <c r="AZ31" s="33">
        <f t="shared" si="3"/>
        <v>42.16301976598136</v>
      </c>
      <c r="BA31" s="33">
        <f t="shared" si="4"/>
        <v>47.060781572465217</v>
      </c>
      <c r="BB31" s="33">
        <f t="shared" si="5"/>
        <v>45.305288144533826</v>
      </c>
      <c r="BC31" s="33">
        <f t="shared" si="6"/>
        <v>46.18819357804189</v>
      </c>
      <c r="BD31" s="33">
        <f t="shared" si="7"/>
        <v>48.048292719057848</v>
      </c>
      <c r="BE31" s="33">
        <f t="shared" si="8"/>
        <v>40.725845063679017</v>
      </c>
      <c r="BF31" s="33">
        <f t="shared" si="9"/>
        <v>44.603284527107242</v>
      </c>
      <c r="BG31" s="33">
        <f t="shared" si="10"/>
        <v>44.47345089153778</v>
      </c>
      <c r="BH31" s="33">
        <f t="shared" si="11"/>
        <v>47.829818538499261</v>
      </c>
      <c r="BI31" s="33">
        <f t="shared" si="12"/>
        <v>32.088803792851934</v>
      </c>
      <c r="BJ31" s="33">
        <f t="shared" si="13"/>
        <v>32.594656758669501</v>
      </c>
      <c r="BK31" s="33">
        <f t="shared" si="14"/>
        <v>37.620752218898637</v>
      </c>
      <c r="BL31" s="33">
        <f t="shared" si="15"/>
        <v>42.438702472206714</v>
      </c>
      <c r="BM31" s="33">
        <f t="shared" si="16"/>
        <v>27.342937769196496</v>
      </c>
      <c r="BN31" s="33">
        <f t="shared" si="17"/>
        <v>28.733857383492424</v>
      </c>
      <c r="BO31" s="33">
        <f t="shared" si="18"/>
        <v>32.481923185275612</v>
      </c>
      <c r="BP31" s="33">
        <f t="shared" si="19"/>
        <v>34.461111111111109</v>
      </c>
    </row>
    <row r="32" spans="2:68" x14ac:dyDescent="0.2">
      <c r="B32" s="2">
        <v>28</v>
      </c>
      <c r="C32" s="2" t="s">
        <v>85</v>
      </c>
      <c r="D32" s="2" t="s">
        <v>86</v>
      </c>
      <c r="E32" s="2"/>
      <c r="F32" s="2"/>
      <c r="G32" s="2" t="s">
        <v>103</v>
      </c>
      <c r="H32" s="2" t="s">
        <v>103</v>
      </c>
      <c r="I32" s="6">
        <v>16174353</v>
      </c>
      <c r="J32" s="6">
        <v>18861829</v>
      </c>
      <c r="K32" s="11">
        <v>18784274</v>
      </c>
      <c r="L32" s="11">
        <v>18751783</v>
      </c>
      <c r="M32" s="6">
        <v>14439436</v>
      </c>
      <c r="N32" s="6">
        <v>17261754</v>
      </c>
      <c r="O32" s="11">
        <v>17563584</v>
      </c>
      <c r="P32" s="11">
        <v>17600694</v>
      </c>
      <c r="Q32" s="6">
        <v>11040500</v>
      </c>
      <c r="R32" s="6">
        <v>13092501</v>
      </c>
      <c r="S32" s="11">
        <v>12378684</v>
      </c>
      <c r="T32" s="11">
        <v>12696372</v>
      </c>
      <c r="U32" s="11">
        <v>12862612</v>
      </c>
      <c r="V32" s="11">
        <v>3801986</v>
      </c>
      <c r="W32" s="11">
        <v>3496893</v>
      </c>
      <c r="X32" s="11">
        <v>10004094</v>
      </c>
      <c r="Y32" s="11">
        <v>15014749</v>
      </c>
      <c r="Z32" s="11">
        <v>15667681</v>
      </c>
      <c r="AA32" s="11">
        <v>15331221</v>
      </c>
      <c r="AB32" s="11">
        <v>12869927</v>
      </c>
      <c r="AC32" s="6">
        <v>926781</v>
      </c>
      <c r="AD32" s="6">
        <v>954370</v>
      </c>
      <c r="AE32" s="11">
        <v>947557</v>
      </c>
      <c r="AF32" s="11">
        <v>536615</v>
      </c>
      <c r="AG32" s="6">
        <v>865771</v>
      </c>
      <c r="AH32" s="6">
        <v>864475</v>
      </c>
      <c r="AI32" s="11">
        <v>1075413</v>
      </c>
      <c r="AJ32" s="11">
        <v>928080</v>
      </c>
      <c r="AK32" s="6">
        <v>620608</v>
      </c>
      <c r="AL32" s="6">
        <v>684001</v>
      </c>
      <c r="AM32" s="6">
        <v>717102</v>
      </c>
      <c r="AN32" s="6">
        <f>SUMIF('Daftar LQ 45'!$C$5:$C$45,'2023 - 2019'!C32,'Daftar LQ 45'!$W$5:$W$45)</f>
        <v>865595</v>
      </c>
      <c r="AO32" s="6">
        <v>412415</v>
      </c>
      <c r="AP32" s="6">
        <v>406860</v>
      </c>
      <c r="AQ32" s="6">
        <v>441283</v>
      </c>
      <c r="AR32" s="6">
        <f>SUMIF('Daftar LQ 45'!$C$5:$C$45,'2023 - 2019'!C32,'Daftar LQ 45'!$X$5:$X$45)</f>
        <v>662863</v>
      </c>
      <c r="AS32" s="6">
        <v>272840</v>
      </c>
      <c r="AT32" s="6">
        <v>296285</v>
      </c>
      <c r="AU32" s="6">
        <v>302873</v>
      </c>
      <c r="AV32" s="6">
        <v>350886</v>
      </c>
      <c r="AW32" s="33">
        <f t="shared" si="0"/>
        <v>5.729941716988618</v>
      </c>
      <c r="AX32" s="33">
        <f t="shared" si="1"/>
        <v>5.0597956327565052</v>
      </c>
      <c r="AY32" s="33">
        <f t="shared" si="2"/>
        <v>5.0444164091729071</v>
      </c>
      <c r="AZ32" s="33">
        <f t="shared" si="3"/>
        <v>2.861674540495696</v>
      </c>
      <c r="BA32" s="33">
        <f t="shared" si="4"/>
        <v>5.9958782323630926</v>
      </c>
      <c r="BB32" s="33">
        <f t="shared" si="5"/>
        <v>5.0080368426059136</v>
      </c>
      <c r="BC32" s="33">
        <f t="shared" si="6"/>
        <v>6.1229701181717813</v>
      </c>
      <c r="BD32" s="33">
        <f t="shared" si="7"/>
        <v>5.2729738952339043</v>
      </c>
      <c r="BE32" s="33">
        <f t="shared" si="8"/>
        <v>5.6211946922693716</v>
      </c>
      <c r="BF32" s="33">
        <f t="shared" si="9"/>
        <v>5.2243723334449239</v>
      </c>
      <c r="BG32" s="33">
        <f t="shared" si="10"/>
        <v>5.793039066188296</v>
      </c>
      <c r="BH32" s="33">
        <f t="shared" si="11"/>
        <v>6.8176562564486929</v>
      </c>
      <c r="BI32" s="33">
        <f t="shared" si="12"/>
        <v>3.2063083299099744</v>
      </c>
      <c r="BJ32" s="33">
        <f t="shared" si="13"/>
        <v>10.701249294447692</v>
      </c>
      <c r="BK32" s="33">
        <f t="shared" si="14"/>
        <v>12.619288036551305</v>
      </c>
      <c r="BL32" s="33">
        <f t="shared" si="15"/>
        <v>6.6259173494371408</v>
      </c>
      <c r="BM32" s="33">
        <f t="shared" si="16"/>
        <v>1.8171465936593412</v>
      </c>
      <c r="BN32" s="33">
        <f t="shared" si="17"/>
        <v>1.8910584150902738</v>
      </c>
      <c r="BO32" s="33">
        <f t="shared" si="18"/>
        <v>1.9755308464994408</v>
      </c>
      <c r="BP32" s="33">
        <f t="shared" si="19"/>
        <v>2.7264024108295253</v>
      </c>
    </row>
    <row r="33" spans="2:68" x14ac:dyDescent="0.2">
      <c r="B33" s="2">
        <v>29</v>
      </c>
      <c r="C33" s="2" t="s">
        <v>87</v>
      </c>
      <c r="D33" s="2" t="s">
        <v>88</v>
      </c>
      <c r="E33" s="2"/>
      <c r="F33" s="2"/>
      <c r="G33" s="2" t="s">
        <v>103</v>
      </c>
      <c r="H33" s="2" t="s">
        <v>103</v>
      </c>
      <c r="I33" s="6">
        <v>4767474</v>
      </c>
      <c r="J33" s="6">
        <v>3777344</v>
      </c>
      <c r="K33" s="11">
        <v>4002758</v>
      </c>
      <c r="L33" s="11">
        <v>2104729</v>
      </c>
      <c r="M33" s="6">
        <v>5083304</v>
      </c>
      <c r="N33" s="6">
        <v>4769447</v>
      </c>
      <c r="O33" s="11">
        <v>4334175</v>
      </c>
      <c r="P33" s="11">
        <v>3718281</v>
      </c>
      <c r="Q33" s="6">
        <v>6336842</v>
      </c>
      <c r="R33" s="6">
        <v>5645660</v>
      </c>
      <c r="S33" s="11">
        <v>5486459</v>
      </c>
      <c r="T33" s="11">
        <v>4708724</v>
      </c>
      <c r="U33" s="11">
        <v>5883339</v>
      </c>
      <c r="V33" s="11">
        <v>5565251</v>
      </c>
      <c r="W33" s="11">
        <v>5915304</v>
      </c>
      <c r="X33" s="11">
        <v>5449574</v>
      </c>
      <c r="Y33" s="11">
        <v>5930242</v>
      </c>
      <c r="Z33" s="11">
        <v>6188193</v>
      </c>
      <c r="AA33" s="11">
        <v>5976536</v>
      </c>
      <c r="AB33" s="11">
        <v>5043832</v>
      </c>
      <c r="AC33" s="6">
        <v>214104</v>
      </c>
      <c r="AD33" s="6">
        <v>200095</v>
      </c>
      <c r="AE33" s="11">
        <v>226838</v>
      </c>
      <c r="AF33" s="11">
        <v>224799</v>
      </c>
      <c r="AG33" s="6">
        <v>186303</v>
      </c>
      <c r="AH33" s="6">
        <v>203519</v>
      </c>
      <c r="AI33" s="11">
        <v>201631</v>
      </c>
      <c r="AJ33" s="11">
        <v>211209</v>
      </c>
      <c r="AK33" s="6">
        <v>171078</v>
      </c>
      <c r="AL33" s="6">
        <v>191651</v>
      </c>
      <c r="AM33" s="6">
        <v>195675</v>
      </c>
      <c r="AN33" s="6">
        <f>SUMIF('Daftar LQ 45'!$C$5:$C$45,'2023 - 2019'!C33,'Daftar LQ 45'!$W$5:$W$45)</f>
        <v>192169</v>
      </c>
      <c r="AO33" s="6">
        <v>155791</v>
      </c>
      <c r="AP33" s="6">
        <v>141993</v>
      </c>
      <c r="AQ33" s="6">
        <v>164754</v>
      </c>
      <c r="AR33" s="6">
        <f>SUMIF('Daftar LQ 45'!$C$5:$C$45,'2023 - 2019'!C33,'Daftar LQ 45'!$X$5:$X$45)</f>
        <v>154286</v>
      </c>
      <c r="AS33" s="6">
        <v>167930</v>
      </c>
      <c r="AT33" s="6">
        <v>134449</v>
      </c>
      <c r="AU33" s="6">
        <v>133756</v>
      </c>
      <c r="AV33" s="6">
        <v>147118</v>
      </c>
      <c r="AW33" s="33">
        <f t="shared" si="0"/>
        <v>4.4909316757679223</v>
      </c>
      <c r="AX33" s="33">
        <f t="shared" si="1"/>
        <v>5.2972406008031037</v>
      </c>
      <c r="AY33" s="33">
        <f t="shared" si="2"/>
        <v>5.6670425741451274</v>
      </c>
      <c r="AZ33" s="33">
        <f t="shared" si="3"/>
        <v>10.6806624510804</v>
      </c>
      <c r="BA33" s="33">
        <f t="shared" si="4"/>
        <v>3.6649981980223885</v>
      </c>
      <c r="BB33" s="33">
        <f t="shared" si="5"/>
        <v>4.2671404043277974</v>
      </c>
      <c r="BC33" s="33">
        <f t="shared" si="6"/>
        <v>4.652119492175558</v>
      </c>
      <c r="BD33" s="33">
        <f t="shared" si="7"/>
        <v>5.6802861322207763</v>
      </c>
      <c r="BE33" s="33">
        <f t="shared" si="8"/>
        <v>2.699735925244783</v>
      </c>
      <c r="BF33" s="33">
        <f t="shared" si="9"/>
        <v>3.3946606774052994</v>
      </c>
      <c r="BG33" s="33">
        <f t="shared" si="10"/>
        <v>3.5665080154613387</v>
      </c>
      <c r="BH33" s="33">
        <f t="shared" si="11"/>
        <v>4.0811268615446563</v>
      </c>
      <c r="BI33" s="33">
        <f t="shared" si="12"/>
        <v>2.6480031152377927</v>
      </c>
      <c r="BJ33" s="33">
        <f t="shared" si="13"/>
        <v>2.5514213105572416</v>
      </c>
      <c r="BK33" s="33">
        <f t="shared" si="14"/>
        <v>2.7852161106174762</v>
      </c>
      <c r="BL33" s="33">
        <f t="shared" si="15"/>
        <v>2.8311570775990931</v>
      </c>
      <c r="BM33" s="33">
        <f t="shared" si="16"/>
        <v>2.8317562757135377</v>
      </c>
      <c r="BN33" s="33">
        <f t="shared" si="17"/>
        <v>2.1726697922963942</v>
      </c>
      <c r="BO33" s="33">
        <f t="shared" si="18"/>
        <v>2.2380188122350471</v>
      </c>
      <c r="BP33" s="33">
        <f t="shared" si="19"/>
        <v>2.9167902499528138</v>
      </c>
    </row>
    <row r="34" spans="2:68" x14ac:dyDescent="0.2">
      <c r="B34" s="2">
        <v>30</v>
      </c>
      <c r="C34" s="2" t="s">
        <v>89</v>
      </c>
      <c r="D34" s="2" t="s">
        <v>90</v>
      </c>
      <c r="E34" s="2"/>
      <c r="F34" s="2"/>
      <c r="G34" s="2" t="s">
        <v>103</v>
      </c>
      <c r="H34" s="2" t="s">
        <v>103</v>
      </c>
      <c r="I34" s="6">
        <v>2564935135</v>
      </c>
      <c r="J34" s="6">
        <v>3239221860</v>
      </c>
      <c r="K34" s="11">
        <v>2515940271</v>
      </c>
      <c r="L34" s="11">
        <v>2235461514</v>
      </c>
      <c r="M34" s="6">
        <v>1874428509</v>
      </c>
      <c r="N34" s="6">
        <v>2474558659</v>
      </c>
      <c r="O34" s="11">
        <v>2833043973</v>
      </c>
      <c r="P34" s="11">
        <v>2086153433</v>
      </c>
      <c r="Q34" s="6">
        <v>3595888683</v>
      </c>
      <c r="R34" s="6">
        <v>3380471988</v>
      </c>
      <c r="S34" s="11">
        <v>3368702408</v>
      </c>
      <c r="T34" s="11">
        <v>8716517815</v>
      </c>
      <c r="U34" s="11">
        <f>5019656116+1213847014</f>
        <v>6233503130</v>
      </c>
      <c r="V34" s="11">
        <f>5998823304+2040967039</f>
        <v>8039790343</v>
      </c>
      <c r="W34" s="11">
        <f>4623609167+195569234</f>
        <v>4819178401</v>
      </c>
      <c r="X34" s="11">
        <v>9596558543</v>
      </c>
      <c r="Y34" s="11">
        <f>5463180735+1945992979</f>
        <v>7409173714</v>
      </c>
      <c r="Z34" s="11">
        <f>5505720628+2061302256</f>
        <v>7567022884</v>
      </c>
      <c r="AA34" s="11">
        <f>6000365353+1893189021</f>
        <v>7893554374</v>
      </c>
      <c r="AB34" s="11">
        <f>973395482+4351677840</f>
        <v>5325073322</v>
      </c>
      <c r="AC34" s="6">
        <v>475302926</v>
      </c>
      <c r="AD34" s="6">
        <v>472842334</v>
      </c>
      <c r="AE34" s="11">
        <v>492127764</v>
      </c>
      <c r="AF34" s="11">
        <v>519650206</v>
      </c>
      <c r="AG34" s="6">
        <v>395914586</v>
      </c>
      <c r="AH34" s="6">
        <v>403538853</v>
      </c>
      <c r="AI34" s="11">
        <v>396224097</v>
      </c>
      <c r="AJ34" s="11">
        <v>457178657</v>
      </c>
      <c r="AK34" s="6">
        <v>621766859</v>
      </c>
      <c r="AL34" s="6">
        <v>609456304</v>
      </c>
      <c r="AM34" s="6">
        <v>575975787</v>
      </c>
      <c r="AN34" s="6">
        <f>SUMIF('Daftar LQ 45'!$C$5:$C$45,'2023 - 2019'!C34,'Daftar LQ 45'!$W$5:$W$45)</f>
        <v>1125198030</v>
      </c>
      <c r="AO34" s="6">
        <f>1918671739+274433119</f>
        <v>2193104858</v>
      </c>
      <c r="AP34" s="6">
        <f>408520096+1296335581</f>
        <v>1704855677</v>
      </c>
      <c r="AQ34" s="6">
        <f>856747626+347520562</f>
        <v>1204268188</v>
      </c>
      <c r="AR34" s="6">
        <f>SUMIF('Daftar LQ 45'!$C$5:$C$45,'2023 - 2019'!C34,'Daftar LQ 45'!$X$5:$X$45)</f>
        <v>1447183409</v>
      </c>
      <c r="AS34" s="6">
        <f>301967224+25611759</f>
        <v>327578983</v>
      </c>
      <c r="AT34" s="6">
        <f>248358941+25553588</f>
        <v>273912529</v>
      </c>
      <c r="AU34" s="6">
        <f>244811209+25112800</f>
        <v>269924009</v>
      </c>
      <c r="AV34" s="6">
        <f>269716872+1942706013</f>
        <v>2212422885</v>
      </c>
      <c r="AW34" s="33">
        <f t="shared" si="0"/>
        <v>18.530797115070126</v>
      </c>
      <c r="AX34" s="33">
        <f t="shared" si="1"/>
        <v>14.597405007633531</v>
      </c>
      <c r="AY34" s="33">
        <f t="shared" si="2"/>
        <v>19.560391384187991</v>
      </c>
      <c r="AZ34" s="33">
        <f t="shared" si="3"/>
        <v>23.245768390356641</v>
      </c>
      <c r="BA34" s="33">
        <f t="shared" si="4"/>
        <v>21.121882435047834</v>
      </c>
      <c r="BB34" s="33">
        <f t="shared" si="5"/>
        <v>16.307508069462177</v>
      </c>
      <c r="BC34" s="33">
        <f t="shared" si="6"/>
        <v>13.985808225222348</v>
      </c>
      <c r="BD34" s="33">
        <f t="shared" si="7"/>
        <v>21.914910464785549</v>
      </c>
      <c r="BE34" s="33">
        <f t="shared" si="8"/>
        <v>17.291048578324414</v>
      </c>
      <c r="BF34" s="33">
        <f t="shared" si="9"/>
        <v>18.02873403960891</v>
      </c>
      <c r="BG34" s="33">
        <f t="shared" si="10"/>
        <v>17.097853037780119</v>
      </c>
      <c r="BH34" s="33">
        <f t="shared" si="11"/>
        <v>12.908802045510418</v>
      </c>
      <c r="BI34" s="33">
        <f t="shared" si="12"/>
        <v>35.182542019514472</v>
      </c>
      <c r="BJ34" s="33">
        <f t="shared" si="13"/>
        <v>21.205225562683559</v>
      </c>
      <c r="BK34" s="33">
        <f t="shared" si="14"/>
        <v>24.989076722084189</v>
      </c>
      <c r="BL34" s="33">
        <f t="shared" si="15"/>
        <v>15.08023321605865</v>
      </c>
      <c r="BM34" s="33">
        <f t="shared" si="16"/>
        <v>4.4212620144271053</v>
      </c>
      <c r="BN34" s="33">
        <f t="shared" si="17"/>
        <v>3.619818959173112</v>
      </c>
      <c r="BO34" s="33">
        <f t="shared" si="18"/>
        <v>3.4195496250596933</v>
      </c>
      <c r="BP34" s="33">
        <f t="shared" si="19"/>
        <v>41.547275525007315</v>
      </c>
    </row>
    <row r="35" spans="2:68" s="1" customFormat="1" x14ac:dyDescent="0.2">
      <c r="B35" s="8"/>
      <c r="G35" s="8"/>
      <c r="H35" s="8"/>
      <c r="I35" s="8"/>
      <c r="J35" s="8"/>
      <c r="K35" s="8"/>
      <c r="L35" s="38"/>
      <c r="M35" s="8"/>
      <c r="N35" s="8"/>
      <c r="O35" s="8"/>
      <c r="P35" s="38"/>
      <c r="Q35" s="8"/>
      <c r="R35" s="8"/>
      <c r="S35" s="8"/>
      <c r="T35" s="3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38"/>
      <c r="AG35" s="8"/>
      <c r="AH35" s="8"/>
      <c r="AI35" s="8"/>
      <c r="AJ35" s="38"/>
      <c r="AW35" s="39">
        <f>AVERAGE(AW5:AW34)</f>
        <v>8.7475342155301306</v>
      </c>
      <c r="AX35" s="39">
        <f t="shared" ref="AX35:BD35" si="20">AVERAGE(AX5:AX34)</f>
        <v>8.66168619655984</v>
      </c>
      <c r="AY35" s="39">
        <f t="shared" si="20"/>
        <v>8.533387809008703</v>
      </c>
      <c r="AZ35" s="39">
        <f t="shared" si="20"/>
        <v>11.706240656790586</v>
      </c>
      <c r="BA35" s="39">
        <f t="shared" si="20"/>
        <v>8.7103565426488974</v>
      </c>
      <c r="BB35" s="39">
        <f t="shared" si="20"/>
        <v>8.7257859527251647</v>
      </c>
      <c r="BC35" s="39">
        <f t="shared" si="20"/>
        <v>8.7702170174117651</v>
      </c>
      <c r="BD35" s="39">
        <f t="shared" si="20"/>
        <v>12.781004856881934</v>
      </c>
      <c r="BE35" s="39">
        <f>AVERAGE(BE5:BE34)</f>
        <v>8.9444259227568708</v>
      </c>
      <c r="BF35" s="39">
        <f t="shared" ref="BF35:BP35" si="21">AVERAGE(BF5:BF34)</f>
        <v>9.1131921857222533</v>
      </c>
      <c r="BG35" s="39">
        <f t="shared" si="21"/>
        <v>8.27149319049993</v>
      </c>
      <c r="BH35" s="39">
        <f t="shared" si="21"/>
        <v>8.4656335980415154</v>
      </c>
      <c r="BI35" s="39">
        <f t="shared" si="21"/>
        <v>7.909149294849029</v>
      </c>
      <c r="BJ35" s="39">
        <f t="shared" si="21"/>
        <v>7.9679804184835108</v>
      </c>
      <c r="BK35" s="39">
        <f t="shared" si="21"/>
        <v>8.8146757189544953</v>
      </c>
      <c r="BL35" s="39">
        <f t="shared" si="21"/>
        <v>8.3309771882512713</v>
      </c>
      <c r="BM35" s="39">
        <f t="shared" si="21"/>
        <v>3.7845983347260348</v>
      </c>
      <c r="BN35" s="39">
        <f t="shared" si="21"/>
        <v>4.3588582680323196</v>
      </c>
      <c r="BO35" s="39">
        <f t="shared" si="21"/>
        <v>4.620056416437075</v>
      </c>
      <c r="BP35" s="39">
        <f t="shared" si="21"/>
        <v>6.5784320563400973</v>
      </c>
    </row>
    <row r="36" spans="2:68" x14ac:dyDescent="0.2">
      <c r="B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68" x14ac:dyDescent="0.2">
      <c r="B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</sheetData>
  <mergeCells count="15">
    <mergeCell ref="I3:L3"/>
    <mergeCell ref="AO3:AR3"/>
    <mergeCell ref="AS3:AV3"/>
    <mergeCell ref="BE3:BH3"/>
    <mergeCell ref="BI3:BL3"/>
    <mergeCell ref="M3:P3"/>
    <mergeCell ref="BM3:BP3"/>
    <mergeCell ref="Q3:T3"/>
    <mergeCell ref="U3:X3"/>
    <mergeCell ref="Y3:AB3"/>
    <mergeCell ref="AK3:AN3"/>
    <mergeCell ref="AG3:AJ3"/>
    <mergeCell ref="AC3:AF3"/>
    <mergeCell ref="BA3:BD3"/>
    <mergeCell ref="AW3:AZ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F3F0-4F1C-2F46-96D6-99691402322B}">
  <dimension ref="A1:BJ34"/>
  <sheetViews>
    <sheetView workbookViewId="0">
      <pane xSplit="2" ySplit="3" topLeftCell="P4" activePane="bottomRight" state="frozen"/>
      <selection pane="topRight" activeCell="C1" sqref="C1"/>
      <selection pane="bottomLeft" activeCell="A4" sqref="A4"/>
      <selection pane="bottomRight" activeCell="Z4" sqref="Z4"/>
    </sheetView>
  </sheetViews>
  <sheetFormatPr baseColWidth="10" defaultRowHeight="16" outlineLevelCol="1" x14ac:dyDescent="0.2"/>
  <cols>
    <col min="3" max="3" width="16" customWidth="1" outlineLevel="1"/>
    <col min="4" max="4" width="14.1640625" customWidth="1" outlineLevel="1"/>
    <col min="5" max="5" width="16" customWidth="1" outlineLevel="1"/>
    <col min="6" max="6" width="18.6640625" bestFit="1" customWidth="1"/>
    <col min="7" max="9" width="16" customWidth="1" outlineLevel="1"/>
    <col min="10" max="10" width="16" bestFit="1" customWidth="1"/>
    <col min="11" max="11" width="16" customWidth="1" outlineLevel="1"/>
    <col min="12" max="12" width="14" customWidth="1" outlineLevel="1"/>
    <col min="13" max="13" width="16" customWidth="1" outlineLevel="1"/>
    <col min="14" max="14" width="16" bestFit="1" customWidth="1"/>
    <col min="15" max="15" width="16" customWidth="1" outlineLevel="1"/>
    <col min="16" max="16" width="14.1640625" customWidth="1" outlineLevel="1"/>
    <col min="17" max="17" width="16" customWidth="1" outlineLevel="1"/>
    <col min="18" max="18" width="16" bestFit="1" customWidth="1"/>
    <col min="19" max="21" width="16" customWidth="1" outlineLevel="1"/>
    <col min="22" max="22" width="16" bestFit="1" customWidth="1"/>
    <col min="23" max="25" width="14.1640625" customWidth="1" outlineLevel="1"/>
    <col min="26" max="26" width="16" bestFit="1" customWidth="1"/>
    <col min="27" max="29" width="14.1640625" customWidth="1" outlineLevel="1"/>
    <col min="30" max="30" width="14.1640625" customWidth="1"/>
    <col min="31" max="33" width="14.1640625" customWidth="1" outlineLevel="1"/>
    <col min="34" max="34" width="14.1640625" customWidth="1"/>
    <col min="35" max="37" width="14.1640625" customWidth="1" outlineLevel="1"/>
    <col min="38" max="38" width="14.1640625" customWidth="1"/>
    <col min="39" max="41" width="14.1640625" customWidth="1" outlineLevel="1"/>
    <col min="42" max="42" width="14.1640625" customWidth="1"/>
  </cols>
  <sheetData>
    <row r="1" spans="1:62" ht="17" thickBot="1" x14ac:dyDescent="0.25"/>
    <row r="2" spans="1:62" x14ac:dyDescent="0.2">
      <c r="A2" s="1" t="s">
        <v>622</v>
      </c>
      <c r="C2" s="58" t="s">
        <v>556</v>
      </c>
      <c r="D2" s="59"/>
      <c r="E2" s="59"/>
      <c r="F2" s="59"/>
      <c r="G2" s="60" t="s">
        <v>634</v>
      </c>
      <c r="H2" s="60"/>
      <c r="I2" s="60"/>
      <c r="J2" s="60"/>
      <c r="K2" s="57" t="s">
        <v>635</v>
      </c>
      <c r="L2" s="57"/>
      <c r="M2" s="57"/>
      <c r="N2" s="57"/>
      <c r="O2" s="66" t="s">
        <v>636</v>
      </c>
      <c r="P2" s="66"/>
      <c r="Q2" s="66"/>
      <c r="R2" s="66"/>
      <c r="S2" s="65" t="s">
        <v>675</v>
      </c>
      <c r="T2" s="65"/>
      <c r="U2" s="65"/>
      <c r="V2" s="65"/>
      <c r="W2" s="59" t="s">
        <v>562</v>
      </c>
      <c r="X2" s="59"/>
      <c r="Y2" s="59"/>
      <c r="Z2" s="59"/>
      <c r="AA2" s="60" t="s">
        <v>637</v>
      </c>
      <c r="AB2" s="60"/>
      <c r="AC2" s="60"/>
      <c r="AD2" s="60"/>
      <c r="AE2" s="57" t="s">
        <v>638</v>
      </c>
      <c r="AF2" s="57"/>
      <c r="AG2" s="57"/>
      <c r="AH2" s="57"/>
      <c r="AI2" s="66" t="s">
        <v>639</v>
      </c>
      <c r="AJ2" s="66"/>
      <c r="AK2" s="66"/>
      <c r="AL2" s="66"/>
      <c r="AM2" s="65" t="s">
        <v>674</v>
      </c>
      <c r="AN2" s="65"/>
      <c r="AO2" s="65"/>
      <c r="AP2" s="65"/>
      <c r="AQ2" s="59" t="s">
        <v>558</v>
      </c>
      <c r="AR2" s="59"/>
      <c r="AS2" s="59"/>
      <c r="AT2" s="59"/>
      <c r="AU2" s="60" t="s">
        <v>641</v>
      </c>
      <c r="AV2" s="60"/>
      <c r="AW2" s="60"/>
      <c r="AX2" s="60"/>
      <c r="AY2" s="57" t="s">
        <v>640</v>
      </c>
      <c r="AZ2" s="57"/>
      <c r="BA2" s="57"/>
      <c r="BB2" s="57"/>
      <c r="BC2" s="67" t="s">
        <v>642</v>
      </c>
      <c r="BD2" s="68"/>
      <c r="BE2" s="68"/>
      <c r="BF2" s="69"/>
      <c r="BG2" s="65" t="s">
        <v>676</v>
      </c>
      <c r="BH2" s="65"/>
      <c r="BI2" s="65"/>
      <c r="BJ2" s="65"/>
    </row>
    <row r="3" spans="1:62" ht="17" thickBot="1" x14ac:dyDescent="0.25">
      <c r="A3" s="5" t="s">
        <v>0</v>
      </c>
      <c r="B3" s="5" t="s">
        <v>1</v>
      </c>
      <c r="C3" s="35" t="s">
        <v>552</v>
      </c>
      <c r="D3" s="36" t="s">
        <v>553</v>
      </c>
      <c r="E3" s="36" t="s">
        <v>554</v>
      </c>
      <c r="F3" s="36" t="s">
        <v>102</v>
      </c>
      <c r="G3" s="36" t="s">
        <v>552</v>
      </c>
      <c r="H3" s="36" t="s">
        <v>553</v>
      </c>
      <c r="I3" s="36" t="s">
        <v>554</v>
      </c>
      <c r="J3" s="36" t="s">
        <v>102</v>
      </c>
      <c r="K3" s="36" t="s">
        <v>552</v>
      </c>
      <c r="L3" s="36" t="s">
        <v>553</v>
      </c>
      <c r="M3" s="36" t="s">
        <v>554</v>
      </c>
      <c r="N3" s="36" t="s">
        <v>102</v>
      </c>
      <c r="O3" s="36" t="s">
        <v>552</v>
      </c>
      <c r="P3" s="36" t="s">
        <v>553</v>
      </c>
      <c r="Q3" s="36" t="s">
        <v>554</v>
      </c>
      <c r="R3" s="36" t="s">
        <v>102</v>
      </c>
      <c r="S3" s="36" t="s">
        <v>552</v>
      </c>
      <c r="T3" s="36" t="s">
        <v>553</v>
      </c>
      <c r="U3" s="36" t="s">
        <v>554</v>
      </c>
      <c r="V3" s="36" t="s">
        <v>102</v>
      </c>
      <c r="W3" s="36" t="s">
        <v>552</v>
      </c>
      <c r="X3" s="36" t="s">
        <v>553</v>
      </c>
      <c r="Y3" s="36" t="s">
        <v>554</v>
      </c>
      <c r="Z3" s="36" t="s">
        <v>102</v>
      </c>
      <c r="AA3" s="36" t="s">
        <v>552</v>
      </c>
      <c r="AB3" s="36" t="s">
        <v>553</v>
      </c>
      <c r="AC3" s="36" t="s">
        <v>554</v>
      </c>
      <c r="AD3" s="36" t="s">
        <v>102</v>
      </c>
      <c r="AE3" s="36" t="s">
        <v>552</v>
      </c>
      <c r="AF3" s="36" t="s">
        <v>553</v>
      </c>
      <c r="AG3" s="36" t="s">
        <v>554</v>
      </c>
      <c r="AH3" s="36" t="s">
        <v>102</v>
      </c>
      <c r="AI3" s="36" t="s">
        <v>552</v>
      </c>
      <c r="AJ3" s="36" t="s">
        <v>553</v>
      </c>
      <c r="AK3" s="36" t="s">
        <v>554</v>
      </c>
      <c r="AL3" s="36" t="s">
        <v>102</v>
      </c>
      <c r="AM3" s="36" t="s">
        <v>552</v>
      </c>
      <c r="AN3" s="36" t="s">
        <v>553</v>
      </c>
      <c r="AO3" s="36" t="s">
        <v>554</v>
      </c>
      <c r="AP3" s="36" t="s">
        <v>102</v>
      </c>
      <c r="AQ3" s="36" t="s">
        <v>552</v>
      </c>
      <c r="AR3" s="36" t="s">
        <v>553</v>
      </c>
      <c r="AS3" s="36" t="s">
        <v>554</v>
      </c>
      <c r="AT3" s="36" t="s">
        <v>102</v>
      </c>
      <c r="AU3" s="36" t="s">
        <v>552</v>
      </c>
      <c r="AV3" s="36" t="s">
        <v>553</v>
      </c>
      <c r="AW3" s="36" t="s">
        <v>554</v>
      </c>
      <c r="AX3" s="36" t="s">
        <v>102</v>
      </c>
      <c r="AY3" s="36" t="s">
        <v>552</v>
      </c>
      <c r="AZ3" s="36" t="s">
        <v>553</v>
      </c>
      <c r="BA3" s="36" t="s">
        <v>554</v>
      </c>
      <c r="BB3" s="36" t="s">
        <v>102</v>
      </c>
      <c r="BC3" s="36" t="s">
        <v>552</v>
      </c>
      <c r="BD3" s="36" t="s">
        <v>553</v>
      </c>
      <c r="BE3" s="36" t="s">
        <v>554</v>
      </c>
      <c r="BF3" s="37" t="s">
        <v>102</v>
      </c>
      <c r="BG3" s="36" t="s">
        <v>552</v>
      </c>
      <c r="BH3" s="36" t="s">
        <v>553</v>
      </c>
      <c r="BI3" s="36" t="s">
        <v>554</v>
      </c>
      <c r="BJ3" s="37" t="s">
        <v>102</v>
      </c>
    </row>
    <row r="4" spans="1:62" x14ac:dyDescent="0.2">
      <c r="A4" s="2">
        <v>1</v>
      </c>
      <c r="B4" s="2" t="s">
        <v>5</v>
      </c>
      <c r="C4" s="6">
        <v>326006</v>
      </c>
      <c r="D4" s="6">
        <v>343361</v>
      </c>
      <c r="E4" s="6">
        <v>418013</v>
      </c>
      <c r="F4" s="11">
        <v>370894</v>
      </c>
      <c r="G4" s="11">
        <v>358404</v>
      </c>
      <c r="H4" s="11">
        <v>344416</v>
      </c>
      <c r="I4" s="11">
        <v>378055</v>
      </c>
      <c r="J4" s="11">
        <v>315314</v>
      </c>
      <c r="K4" s="11">
        <v>285440</v>
      </c>
      <c r="L4" s="11">
        <v>283624</v>
      </c>
      <c r="M4" s="11">
        <v>286733</v>
      </c>
      <c r="N4" s="11">
        <v>328820</v>
      </c>
      <c r="O4" s="11">
        <v>328114</v>
      </c>
      <c r="P4" s="11">
        <v>311358</v>
      </c>
      <c r="Q4" s="11">
        <v>296652</v>
      </c>
      <c r="R4" s="11">
        <v>222222</v>
      </c>
      <c r="S4" s="11">
        <v>425070</v>
      </c>
      <c r="T4" s="11">
        <v>396640</v>
      </c>
      <c r="U4" s="11">
        <v>371332</v>
      </c>
      <c r="V4" s="11">
        <v>312088</v>
      </c>
      <c r="W4" s="6">
        <v>147</v>
      </c>
      <c r="X4" s="6">
        <v>0</v>
      </c>
      <c r="Y4" s="6">
        <v>0</v>
      </c>
      <c r="Z4" s="6">
        <v>0</v>
      </c>
      <c r="AA4" s="6">
        <v>28150</v>
      </c>
      <c r="AB4" s="6">
        <v>28323</v>
      </c>
      <c r="AC4" s="6">
        <v>1048</v>
      </c>
      <c r="AD4" s="6">
        <v>596</v>
      </c>
      <c r="AE4" s="6">
        <v>26528</v>
      </c>
      <c r="AF4" s="6">
        <v>26528</v>
      </c>
      <c r="AG4" s="6">
        <v>26528</v>
      </c>
      <c r="AH4" s="6">
        <v>28131</v>
      </c>
      <c r="AI4" s="6">
        <v>26528</v>
      </c>
      <c r="AJ4" s="6">
        <v>26528</v>
      </c>
      <c r="AK4" s="6">
        <v>26528</v>
      </c>
      <c r="AL4" s="6">
        <v>26528</v>
      </c>
      <c r="AM4" s="6">
        <v>20000</v>
      </c>
      <c r="AN4" s="6">
        <v>20000</v>
      </c>
      <c r="AO4" s="6">
        <v>20000</v>
      </c>
      <c r="AP4" s="6">
        <v>26528</v>
      </c>
      <c r="AQ4" s="33">
        <f t="shared" ref="AQ4" si="0">IFERROR((W4/C4)*100,0)</f>
        <v>4.5091194640589437E-2</v>
      </c>
      <c r="AR4" s="33">
        <f t="shared" ref="AR4:AR33" si="1">IFERROR((X4/D4)*100,0)</f>
        <v>0</v>
      </c>
      <c r="AS4" s="33">
        <f t="shared" ref="AS4:AS33" si="2">IFERROR((Y4/E4)*100,0)</f>
        <v>0</v>
      </c>
      <c r="AT4" s="33">
        <f t="shared" ref="AT4:AT33" si="3">IFERROR((Z4/F4)*100,0)</f>
        <v>0</v>
      </c>
      <c r="AU4" s="33">
        <f t="shared" ref="AU4:AU33" si="4">IFERROR((AA4/G4)*100,0)</f>
        <v>7.8542650193636234</v>
      </c>
      <c r="AV4" s="33">
        <f t="shared" ref="AV4:AV33" si="5">IFERROR((AB4/H4)*100,0)</f>
        <v>8.2234855523552923</v>
      </c>
      <c r="AW4" s="33">
        <f t="shared" ref="AW4:AW33" si="6">IFERROR((AC4/I4)*100,0)</f>
        <v>0.27720834270145878</v>
      </c>
      <c r="AX4" s="33">
        <f t="shared" ref="AX4:AX33" si="7">IFERROR((AD4/J4)*100,0)</f>
        <v>0.18901793133194211</v>
      </c>
      <c r="AY4" s="33">
        <f t="shared" ref="AY4:AY33" si="8">IFERROR((AE4/K4)*100,0)</f>
        <v>9.2937219730941703</v>
      </c>
      <c r="AZ4" s="33">
        <f t="shared" ref="AZ4:AZ33" si="9">IFERROR((AF4/L4)*100,0)</f>
        <v>9.3532282176402575</v>
      </c>
      <c r="BA4" s="33">
        <f t="shared" ref="BA4:BA33" si="10">IFERROR((AG4/M4)*100,0)</f>
        <v>9.251812661953803</v>
      </c>
      <c r="BB4" s="33">
        <f t="shared" ref="BB4:BB33" si="11">IFERROR((AH4/N4)*100,0)</f>
        <v>8.5551365488717241</v>
      </c>
      <c r="BC4" s="33">
        <f t="shared" ref="BC4:BC33" si="12">IFERROR((AI4/O4)*100,0)</f>
        <v>8.0849948493511405</v>
      </c>
      <c r="BD4" s="33">
        <f t="shared" ref="BD4:BD33" si="13">IFERROR((AJ4/P4)*100,0)</f>
        <v>8.5200958382312333</v>
      </c>
      <c r="BE4" s="33">
        <f t="shared" ref="BE4:BE33" si="14">IFERROR((AK4/Q4)*100,0)</f>
        <v>8.9424645712821764</v>
      </c>
      <c r="BF4" s="33">
        <f t="shared" ref="BF4:BF33" si="15">IFERROR((AL4/R4)*100,0)</f>
        <v>11.937611937611937</v>
      </c>
      <c r="BG4" s="33">
        <f t="shared" ref="BG4:BG33" si="16">IFERROR((AM4/S4)*100,0)</f>
        <v>4.7051073940762693</v>
      </c>
      <c r="BH4" s="33">
        <f t="shared" ref="BH4:BH33" si="17">IFERROR((AN4/T4)*100,0)</f>
        <v>5.0423557886244454</v>
      </c>
      <c r="BI4" s="33">
        <f t="shared" ref="BI4:BI33" si="18">IFERROR((AO4/U4)*100,0)</f>
        <v>5.3860157487100491</v>
      </c>
      <c r="BJ4" s="33">
        <f t="shared" ref="BJ4:BJ33" si="19">IFERROR((AP4/V4)*100,0)</f>
        <v>8.5001666196713739</v>
      </c>
    </row>
    <row r="5" spans="1:62" x14ac:dyDescent="0.2">
      <c r="A5" s="2">
        <v>2</v>
      </c>
      <c r="B5" s="2" t="s">
        <v>7</v>
      </c>
      <c r="C5" s="6">
        <v>5041082449</v>
      </c>
      <c r="D5" s="6">
        <v>5151886296</v>
      </c>
      <c r="E5" s="11">
        <v>5293483421</v>
      </c>
      <c r="F5" s="11">
        <v>5336428214</v>
      </c>
      <c r="G5" s="11">
        <v>3761136483</v>
      </c>
      <c r="H5" s="11">
        <v>4085415573</v>
      </c>
      <c r="I5" s="11">
        <v>3787806112</v>
      </c>
      <c r="J5" s="11">
        <v>3891815496</v>
      </c>
      <c r="K5" s="11">
        <v>3175374637</v>
      </c>
      <c r="L5" s="11">
        <v>3488077629</v>
      </c>
      <c r="M5" s="11">
        <v>3400402388</v>
      </c>
      <c r="N5" s="11">
        <v>3436879584</v>
      </c>
      <c r="O5" s="11">
        <v>4011375700</v>
      </c>
      <c r="P5" s="11">
        <v>4438063672</v>
      </c>
      <c r="Q5" s="11">
        <v>4152676535</v>
      </c>
      <c r="R5" s="11">
        <v>3586040786</v>
      </c>
      <c r="S5" s="11">
        <v>4041582392</v>
      </c>
      <c r="T5" s="11">
        <v>4338660357</v>
      </c>
      <c r="U5" s="11">
        <v>5124661677</v>
      </c>
      <c r="V5" s="11">
        <v>4362349214</v>
      </c>
      <c r="W5" s="6">
        <v>221075442</v>
      </c>
      <c r="X5" s="6">
        <v>221127509</v>
      </c>
      <c r="Y5" s="6">
        <v>217768778</v>
      </c>
      <c r="Z5" s="6">
        <v>216002788</v>
      </c>
      <c r="AA5" s="6">
        <v>151932237</v>
      </c>
      <c r="AB5" s="6">
        <v>151951850</v>
      </c>
      <c r="AC5" s="6">
        <v>271294254</v>
      </c>
      <c r="AD5" s="6">
        <v>242845758</v>
      </c>
      <c r="AE5" s="6">
        <v>98583696</v>
      </c>
      <c r="AF5" s="6">
        <v>97149335</v>
      </c>
      <c r="AG5" s="6">
        <v>95086669</v>
      </c>
      <c r="AH5" s="11">
        <v>152040693</v>
      </c>
      <c r="AI5" s="6">
        <v>58359411</v>
      </c>
      <c r="AJ5" s="6">
        <v>65031203</v>
      </c>
      <c r="AK5" s="6">
        <v>76236745</v>
      </c>
      <c r="AL5" s="6">
        <v>10355364</v>
      </c>
      <c r="AM5" s="6">
        <v>14270294</v>
      </c>
      <c r="AN5" s="6">
        <v>14078401</v>
      </c>
      <c r="AO5" s="6">
        <v>14176618</v>
      </c>
      <c r="AP5" s="6">
        <v>53242973</v>
      </c>
      <c r="AQ5" s="33">
        <f t="shared" ref="AQ5:AQ33" si="20">IFERROR((W5/C5)*100,0)</f>
        <v>4.3854756242650774</v>
      </c>
      <c r="AR5" s="33">
        <f t="shared" si="1"/>
        <v>4.2921659426312768</v>
      </c>
      <c r="AS5" s="33">
        <f t="shared" si="2"/>
        <v>4.1139030895247606</v>
      </c>
      <c r="AT5" s="33">
        <f t="shared" si="3"/>
        <v>4.0477034326690937</v>
      </c>
      <c r="AU5" s="33">
        <f t="shared" si="4"/>
        <v>4.0395300113867201</v>
      </c>
      <c r="AV5" s="33">
        <f t="shared" si="5"/>
        <v>3.7193731527394851</v>
      </c>
      <c r="AW5" s="33">
        <f t="shared" si="6"/>
        <v>7.1623057246917501</v>
      </c>
      <c r="AX5" s="33">
        <f t="shared" si="7"/>
        <v>6.2399093238000711</v>
      </c>
      <c r="AY5" s="33">
        <f t="shared" si="8"/>
        <v>3.1046319653525658</v>
      </c>
      <c r="AZ5" s="33">
        <f t="shared" si="9"/>
        <v>2.7851827090170533</v>
      </c>
      <c r="BA5" s="33">
        <f t="shared" si="10"/>
        <v>2.7963357905982038</v>
      </c>
      <c r="BB5" s="33">
        <f t="shared" si="11"/>
        <v>4.4238004062699217</v>
      </c>
      <c r="BC5" s="33">
        <f t="shared" si="12"/>
        <v>1.4548477969789766</v>
      </c>
      <c r="BD5" s="33">
        <f t="shared" si="13"/>
        <v>1.4653057686009692</v>
      </c>
      <c r="BE5" s="33">
        <f t="shared" si="14"/>
        <v>1.8358459744565681</v>
      </c>
      <c r="BF5" s="33">
        <f t="shared" si="15"/>
        <v>0.28876871786923397</v>
      </c>
      <c r="BG5" s="33">
        <f t="shared" si="16"/>
        <v>0.35308680155196004</v>
      </c>
      <c r="BH5" s="33">
        <f t="shared" si="17"/>
        <v>0.32448728044097508</v>
      </c>
      <c r="BI5" s="33">
        <f t="shared" si="18"/>
        <v>0.27663519844882822</v>
      </c>
      <c r="BJ5" s="33">
        <f t="shared" si="19"/>
        <v>1.220511481041646</v>
      </c>
    </row>
    <row r="6" spans="1:62" x14ac:dyDescent="0.2">
      <c r="A6" s="2">
        <v>3</v>
      </c>
      <c r="B6" s="2" t="s">
        <v>9</v>
      </c>
      <c r="C6" s="6">
        <v>725471076</v>
      </c>
      <c r="D6" s="6">
        <v>1320047463</v>
      </c>
      <c r="E6" s="11">
        <v>1409410219</v>
      </c>
      <c r="F6" s="11">
        <v>973539744</v>
      </c>
      <c r="G6" s="11">
        <v>745417064</v>
      </c>
      <c r="H6" s="11">
        <v>456309864</v>
      </c>
      <c r="I6" s="11">
        <v>729277548</v>
      </c>
      <c r="J6" s="11">
        <v>1016137777</v>
      </c>
      <c r="K6" s="11">
        <v>494734419</v>
      </c>
      <c r="L6" s="11">
        <v>632692502</v>
      </c>
      <c r="M6" s="11">
        <v>544342000</v>
      </c>
      <c r="N6" s="11">
        <v>867488547</v>
      </c>
      <c r="O6" s="11">
        <v>777908346</v>
      </c>
      <c r="P6" s="11">
        <v>1539887270</v>
      </c>
      <c r="Q6" s="11">
        <v>695276960</v>
      </c>
      <c r="R6" s="11">
        <v>470932480</v>
      </c>
      <c r="S6" s="11">
        <v>1028596248</v>
      </c>
      <c r="T6" s="11">
        <v>628905895</v>
      </c>
      <c r="U6" s="11">
        <v>539622950</v>
      </c>
      <c r="V6" s="11">
        <v>1082890687</v>
      </c>
      <c r="W6" s="6">
        <v>44969621</v>
      </c>
      <c r="X6" s="6">
        <v>44969621</v>
      </c>
      <c r="Y6" s="6">
        <v>44969621</v>
      </c>
      <c r="Z6" s="6">
        <v>49644124</v>
      </c>
      <c r="AA6" s="6">
        <v>33317668</v>
      </c>
      <c r="AB6" s="6">
        <v>33317668</v>
      </c>
      <c r="AC6" s="6">
        <v>33317668</v>
      </c>
      <c r="AD6" s="6">
        <v>44969621</v>
      </c>
      <c r="AE6" s="6">
        <v>22920259</v>
      </c>
      <c r="AF6" s="6">
        <v>23702902</v>
      </c>
      <c r="AG6" s="6">
        <v>23702902</v>
      </c>
      <c r="AH6" s="6">
        <v>33317668</v>
      </c>
      <c r="AI6" s="6">
        <v>16298588</v>
      </c>
      <c r="AJ6" s="6">
        <v>14495601</v>
      </c>
      <c r="AK6" s="6">
        <v>15581415</v>
      </c>
      <c r="AL6" s="6">
        <v>22920259</v>
      </c>
      <c r="AM6" s="6">
        <v>14424212</v>
      </c>
      <c r="AN6" s="6">
        <v>14885703</v>
      </c>
      <c r="AO6" s="6">
        <v>15084185</v>
      </c>
      <c r="AP6" s="6">
        <v>15270415</v>
      </c>
      <c r="AQ6" s="33">
        <f t="shared" si="20"/>
        <v>6.1986786913610876</v>
      </c>
      <c r="AR6" s="33">
        <f t="shared" si="1"/>
        <v>3.4066669767918794</v>
      </c>
      <c r="AS6" s="33">
        <f t="shared" si="2"/>
        <v>3.1906694299340823</v>
      </c>
      <c r="AT6" s="33">
        <f t="shared" si="3"/>
        <v>5.0993423027627314</v>
      </c>
      <c r="AU6" s="33">
        <f t="shared" si="4"/>
        <v>4.4696680031998834</v>
      </c>
      <c r="AV6" s="33">
        <f t="shared" si="5"/>
        <v>7.301544548684137</v>
      </c>
      <c r="AW6" s="33">
        <f t="shared" si="6"/>
        <v>4.5685854571242057</v>
      </c>
      <c r="AX6" s="33">
        <f t="shared" si="7"/>
        <v>4.4255436632585701</v>
      </c>
      <c r="AY6" s="33">
        <f t="shared" si="8"/>
        <v>4.6328409990815702</v>
      </c>
      <c r="AZ6" s="33">
        <f t="shared" si="9"/>
        <v>3.7463541807549348</v>
      </c>
      <c r="BA6" s="33">
        <f t="shared" si="10"/>
        <v>4.3544135855767152</v>
      </c>
      <c r="BB6" s="33">
        <f t="shared" si="11"/>
        <v>3.8407040779064023</v>
      </c>
      <c r="BC6" s="33">
        <f t="shared" si="12"/>
        <v>2.0951810176362344</v>
      </c>
      <c r="BD6" s="33">
        <f t="shared" si="13"/>
        <v>0.94134169964272763</v>
      </c>
      <c r="BE6" s="33">
        <f t="shared" si="14"/>
        <v>2.2410371544600007</v>
      </c>
      <c r="BF6" s="33">
        <f t="shared" si="15"/>
        <v>4.8669947335125414</v>
      </c>
      <c r="BG6" s="33">
        <f t="shared" si="16"/>
        <v>1.4023201064602757</v>
      </c>
      <c r="BH6" s="33">
        <f t="shared" si="17"/>
        <v>2.3669205708431149</v>
      </c>
      <c r="BI6" s="33">
        <f t="shared" si="18"/>
        <v>2.795319398479994</v>
      </c>
      <c r="BJ6" s="33">
        <f t="shared" si="19"/>
        <v>1.4101529529545211</v>
      </c>
    </row>
    <row r="7" spans="1:62" x14ac:dyDescent="0.2">
      <c r="A7" s="2">
        <v>4</v>
      </c>
      <c r="B7" s="2" t="s">
        <v>11</v>
      </c>
      <c r="C7" s="6">
        <f>25473+W7</f>
        <v>26331</v>
      </c>
      <c r="D7" s="6">
        <f>28398+X7</f>
        <v>29329</v>
      </c>
      <c r="E7" s="11">
        <f>29820+Y7</f>
        <v>30443</v>
      </c>
      <c r="F7" s="11">
        <v>31226</v>
      </c>
      <c r="G7" s="11">
        <f>19500+AA7</f>
        <v>20001</v>
      </c>
      <c r="H7" s="11">
        <f>20472+AB7</f>
        <v>20995</v>
      </c>
      <c r="I7" s="11">
        <f>23005+AC7</f>
        <v>23571</v>
      </c>
      <c r="J7" s="11">
        <f>23785+AD7</f>
        <v>24658</v>
      </c>
      <c r="K7" s="11">
        <f>18227+AE7</f>
        <v>18809</v>
      </c>
      <c r="L7" s="11">
        <f>18037+AF7</f>
        <v>18613</v>
      </c>
      <c r="M7" s="11">
        <f>19270+AG7</f>
        <v>19817</v>
      </c>
      <c r="N7" s="11">
        <f>17409+AH7</f>
        <v>17908</v>
      </c>
      <c r="O7" s="11">
        <f>19488+AI7</f>
        <v>19961</v>
      </c>
      <c r="P7" s="11">
        <f>19648+AJ7</f>
        <v>20139</v>
      </c>
      <c r="Q7" s="11">
        <f>21167+AK7</f>
        <v>21656</v>
      </c>
      <c r="R7" s="11">
        <f>17776+AL7</f>
        <v>18401</v>
      </c>
      <c r="S7" s="11">
        <f>20349+AM7</f>
        <v>20607</v>
      </c>
      <c r="T7" s="11">
        <f>22947+AN7</f>
        <v>23217</v>
      </c>
      <c r="U7" s="11">
        <f>23123+AO7</f>
        <v>23515</v>
      </c>
      <c r="V7" s="11">
        <f>21332+AP7</f>
        <v>21796</v>
      </c>
      <c r="W7" s="6">
        <v>858</v>
      </c>
      <c r="X7" s="6">
        <v>931</v>
      </c>
      <c r="Y7" s="6">
        <v>623</v>
      </c>
      <c r="Z7" s="6">
        <v>813</v>
      </c>
      <c r="AA7" s="6">
        <v>501</v>
      </c>
      <c r="AB7" s="6">
        <v>523</v>
      </c>
      <c r="AC7" s="6">
        <v>566</v>
      </c>
      <c r="AD7" s="6">
        <v>873</v>
      </c>
      <c r="AE7" s="6">
        <v>582</v>
      </c>
      <c r="AF7" s="6">
        <v>576</v>
      </c>
      <c r="AG7" s="6">
        <v>547</v>
      </c>
      <c r="AH7" s="6">
        <v>499</v>
      </c>
      <c r="AI7" s="6">
        <v>473</v>
      </c>
      <c r="AJ7" s="6">
        <v>491</v>
      </c>
      <c r="AK7" s="6">
        <v>489</v>
      </c>
      <c r="AL7" s="6">
        <v>625</v>
      </c>
      <c r="AM7" s="6">
        <v>258</v>
      </c>
      <c r="AN7" s="6">
        <v>270</v>
      </c>
      <c r="AO7" s="6">
        <v>392</v>
      </c>
      <c r="AP7" s="6">
        <v>464</v>
      </c>
      <c r="AQ7" s="33">
        <f t="shared" si="20"/>
        <v>3.2585165774182521</v>
      </c>
      <c r="AR7" s="33">
        <f t="shared" si="1"/>
        <v>3.1743325718572057</v>
      </c>
      <c r="AS7" s="33">
        <f t="shared" si="2"/>
        <v>2.0464474591860196</v>
      </c>
      <c r="AT7" s="33">
        <f t="shared" si="3"/>
        <v>2.6035995644655094</v>
      </c>
      <c r="AU7" s="33">
        <f t="shared" si="4"/>
        <v>2.5048747562621867</v>
      </c>
      <c r="AV7" s="33">
        <f t="shared" si="5"/>
        <v>2.4910693022148132</v>
      </c>
      <c r="AW7" s="33">
        <f t="shared" si="6"/>
        <v>2.4012557804081287</v>
      </c>
      <c r="AX7" s="33">
        <f t="shared" si="7"/>
        <v>3.54043312515208</v>
      </c>
      <c r="AY7" s="33">
        <f t="shared" si="8"/>
        <v>3.0942633845499494</v>
      </c>
      <c r="AZ7" s="33">
        <f t="shared" si="9"/>
        <v>3.0946112931821843</v>
      </c>
      <c r="BA7" s="33">
        <f t="shared" si="10"/>
        <v>2.7602563455618916</v>
      </c>
      <c r="BB7" s="33">
        <f t="shared" si="11"/>
        <v>2.7864641501005134</v>
      </c>
      <c r="BC7" s="33">
        <f t="shared" si="12"/>
        <v>2.3696207604829418</v>
      </c>
      <c r="BD7" s="33">
        <f t="shared" si="13"/>
        <v>2.4380555141764733</v>
      </c>
      <c r="BE7" s="33">
        <f t="shared" si="14"/>
        <v>2.2580347247875876</v>
      </c>
      <c r="BF7" s="33">
        <f t="shared" si="15"/>
        <v>3.3965545350796154</v>
      </c>
      <c r="BG7" s="33">
        <f t="shared" si="16"/>
        <v>1.2520017469791818</v>
      </c>
      <c r="BH7" s="33">
        <f t="shared" si="17"/>
        <v>1.1629409484429512</v>
      </c>
      <c r="BI7" s="33">
        <f t="shared" si="18"/>
        <v>1.667021050393366</v>
      </c>
      <c r="BJ7" s="33">
        <f t="shared" si="19"/>
        <v>2.1288309781611305</v>
      </c>
    </row>
    <row r="8" spans="1:62" x14ac:dyDescent="0.2">
      <c r="A8" s="2">
        <v>5</v>
      </c>
      <c r="B8" s="2" t="s">
        <v>13</v>
      </c>
      <c r="C8" s="6">
        <f>'Breakdown Bank 2018-2014'!C18</f>
        <v>520430596</v>
      </c>
      <c r="D8" s="6">
        <f>'Breakdown Bank 2018-2014'!D18</f>
        <v>559953214</v>
      </c>
      <c r="E8" s="6">
        <f>'Breakdown Bank 2018-2014'!E18</f>
        <v>587614889</v>
      </c>
      <c r="F8" s="6">
        <f>'Breakdown Bank 2018-2014'!F18</f>
        <v>606782452</v>
      </c>
      <c r="G8" s="6">
        <f>'Breakdown Bank 2018-2014'!G18</f>
        <v>458707798</v>
      </c>
      <c r="H8" s="6">
        <f>'Breakdown Bank 2018-2014'!H18</f>
        <v>614482717</v>
      </c>
      <c r="I8" s="6">
        <f>'Breakdown Bank 2018-2014'!I18</f>
        <v>489633717</v>
      </c>
      <c r="J8" s="6">
        <f>'Breakdown Bank 2018-2014'!J18</f>
        <v>521391827</v>
      </c>
      <c r="K8" s="6">
        <f>'Breakdown Bank 2018-2014'!K18</f>
        <v>423541191</v>
      </c>
      <c r="L8" s="6">
        <f>'Breakdown Bank 2018-2014'!L18</f>
        <v>444723466</v>
      </c>
      <c r="M8" s="6">
        <f>'Breakdown Bank 2018-2014'!M18</f>
        <v>448227210</v>
      </c>
      <c r="N8" s="6">
        <f>'Breakdown Bank 2018-2014'!N18</f>
        <v>583407926</v>
      </c>
      <c r="O8" s="6">
        <f>'Breakdown Bank 2018-2014'!O18</f>
        <v>386205962</v>
      </c>
      <c r="P8" s="6">
        <f>'Breakdown Bank 2018-2014'!P18</f>
        <v>419028260</v>
      </c>
      <c r="Q8" s="6">
        <f>'Breakdown Bank 2018-2014'!Q18</f>
        <v>443547099</v>
      </c>
      <c r="R8" s="6">
        <f>'Breakdown Bank 2018-2014'!R18</f>
        <v>470377136</v>
      </c>
      <c r="S8" s="6">
        <f>'Breakdown Bank 2018-2014'!S18</f>
        <v>347039480</v>
      </c>
      <c r="T8" s="6">
        <f>'Breakdown Bank 2018-2014'!T18</f>
        <v>364874010</v>
      </c>
      <c r="U8" s="6">
        <f>'Breakdown Bank 2018-2014'!U18</f>
        <v>369787720</v>
      </c>
      <c r="V8" s="6">
        <f>'Breakdown Bank 2018-2014'!V18</f>
        <v>381138022</v>
      </c>
      <c r="W8" s="6">
        <f>'Breakdown Bank 2018-2014'!W18</f>
        <v>14028760</v>
      </c>
      <c r="X8" s="6">
        <f>'Breakdown Bank 2018-2014'!X18</f>
        <v>13971117</v>
      </c>
      <c r="Y8" s="6">
        <f>'Breakdown Bank 2018-2014'!Y18</f>
        <v>14601488</v>
      </c>
      <c r="Z8" s="6">
        <f>'Breakdown Bank 2018-2014'!Z18</f>
        <v>14274538</v>
      </c>
      <c r="AA8" s="6">
        <f>'Breakdown Bank 2018-2014'!AA18</f>
        <v>12796447</v>
      </c>
      <c r="AB8" s="6">
        <f>'Breakdown Bank 2018-2014'!AB18</f>
        <v>125804000</v>
      </c>
      <c r="AC8" s="6">
        <f>'Breakdown Bank 2018-2014'!AC18</f>
        <v>13448384</v>
      </c>
      <c r="AD8" s="6">
        <f>'Breakdown Bank 2018-2014'!AD18</f>
        <v>14042853</v>
      </c>
      <c r="AE8" s="6">
        <f>'Breakdown Bank 2018-2014'!AE18</f>
        <v>10196157</v>
      </c>
      <c r="AF8" s="6">
        <f>'Breakdown Bank 2018-2014'!AF18</f>
        <v>10977262</v>
      </c>
      <c r="AG8" s="6">
        <f>'Breakdown Bank 2018-2014'!AG18</f>
        <v>11856701</v>
      </c>
      <c r="AH8" s="6">
        <f>'Breakdown Bank 2018-2014'!AH18</f>
        <v>12985657</v>
      </c>
      <c r="AI8" s="6">
        <f>'Breakdown Bank 2018-2014'!AI18</f>
        <v>7205487</v>
      </c>
      <c r="AJ8" s="6">
        <f>'Breakdown Bank 2018-2014'!AJ18</f>
        <v>7421297</v>
      </c>
      <c r="AK8" s="6">
        <f>'Breakdown Bank 2018-2014'!AK18</f>
        <v>8189744</v>
      </c>
      <c r="AL8" s="6">
        <f>'Breakdown Bank 2018-2014'!AL18</f>
        <v>9746561</v>
      </c>
      <c r="AM8" s="6">
        <f>'Breakdown Bank 2018-2014'!AM18</f>
        <v>6024486</v>
      </c>
      <c r="AN8" s="6">
        <f>'Breakdown Bank 2018-2014'!AN18</f>
        <v>6259160</v>
      </c>
      <c r="AO8" s="6">
        <f>'Breakdown Bank 2018-2014'!AO18</f>
        <v>6785977</v>
      </c>
      <c r="AP8" s="6">
        <f>'Breakdown Bank 2018-2014'!AP18</f>
        <v>7392933</v>
      </c>
      <c r="AQ8" s="33">
        <f t="shared" si="20"/>
        <v>2.6956063128924881</v>
      </c>
      <c r="AR8" s="33">
        <f t="shared" si="1"/>
        <v>2.4950507740098447</v>
      </c>
      <c r="AS8" s="33">
        <f t="shared" si="2"/>
        <v>2.4848737282421038</v>
      </c>
      <c r="AT8" s="33">
        <f t="shared" si="3"/>
        <v>2.3524968385209664</v>
      </c>
      <c r="AU8" s="33">
        <f t="shared" si="4"/>
        <v>2.7896728714430967</v>
      </c>
      <c r="AV8" s="33">
        <f t="shared" si="5"/>
        <v>20.473155146526278</v>
      </c>
      <c r="AW8" s="33">
        <f t="shared" si="6"/>
        <v>2.7466213075354857</v>
      </c>
      <c r="AX8" s="33">
        <f t="shared" si="7"/>
        <v>2.6933396867381276</v>
      </c>
      <c r="AY8" s="33">
        <f t="shared" si="8"/>
        <v>2.407359004664082</v>
      </c>
      <c r="AZ8" s="33">
        <f t="shared" si="9"/>
        <v>2.4683343334079879</v>
      </c>
      <c r="BA8" s="33">
        <f t="shared" si="10"/>
        <v>2.6452434692664015</v>
      </c>
      <c r="BB8" s="33">
        <f t="shared" si="11"/>
        <v>2.2258280049489763</v>
      </c>
      <c r="BC8" s="33">
        <f t="shared" si="12"/>
        <v>1.8657109700445276</v>
      </c>
      <c r="BD8" s="33">
        <f t="shared" si="13"/>
        <v>1.7710731490997766</v>
      </c>
      <c r="BE8" s="33">
        <f t="shared" si="14"/>
        <v>1.8464203730481392</v>
      </c>
      <c r="BF8" s="33">
        <f t="shared" si="15"/>
        <v>2.0720737157598581</v>
      </c>
      <c r="BG8" s="33">
        <f t="shared" si="16"/>
        <v>1.7359656025302941</v>
      </c>
      <c r="BH8" s="33">
        <f t="shared" si="17"/>
        <v>1.7154304851693878</v>
      </c>
      <c r="BI8" s="33">
        <f t="shared" si="18"/>
        <v>1.8351006896605435</v>
      </c>
      <c r="BJ8" s="33">
        <f t="shared" si="19"/>
        <v>1.9396996818123804</v>
      </c>
    </row>
    <row r="9" spans="1:62" x14ac:dyDescent="0.2">
      <c r="A9" s="2">
        <v>6</v>
      </c>
      <c r="B9" s="2" t="s">
        <v>15</v>
      </c>
      <c r="C9" s="6">
        <f>'Breakdown Bank 2018-2014'!C29</f>
        <v>500683276</v>
      </c>
      <c r="D9" s="6">
        <f>'Breakdown Bank 2018-2014'!D29</f>
        <v>540390086</v>
      </c>
      <c r="E9" s="6">
        <f>'Breakdown Bank 2018-2014'!E29</f>
        <v>570067619</v>
      </c>
      <c r="F9" s="6">
        <f>'Breakdown Bank 2018-2014'!F29</f>
        <v>610460281</v>
      </c>
      <c r="G9" s="6">
        <f>'Breakdown Bank 2018-2014'!G29</f>
        <v>464645937</v>
      </c>
      <c r="H9" s="6">
        <f>'Breakdown Bank 2018-2014'!H29</f>
        <v>472630618</v>
      </c>
      <c r="I9" s="6">
        <f>'Breakdown Bank 2018-2014'!I29</f>
        <v>497548805</v>
      </c>
      <c r="J9" s="6">
        <f>'Breakdown Bank 2018-2014'!J29</f>
        <v>525315444</v>
      </c>
      <c r="K9" s="6">
        <f>'Breakdown Bank 2018-2014'!K29</f>
        <v>381581570</v>
      </c>
      <c r="L9" s="6">
        <f>'Breakdown Bank 2018-2014'!L29</f>
        <v>400658951</v>
      </c>
      <c r="M9" s="6">
        <f>'Breakdown Bank 2018-2014'!M29</f>
        <v>431407599</v>
      </c>
      <c r="N9" s="6">
        <f>'Breakdown Bank 2018-2014'!N29</f>
        <v>456645618</v>
      </c>
      <c r="O9" s="6">
        <f>'Breakdown Bank 2018-2014'!O29</f>
        <v>310524543</v>
      </c>
      <c r="P9" s="6">
        <f>'Breakdown Bank 2018-2014'!P29</f>
        <v>340815321</v>
      </c>
      <c r="Q9" s="6">
        <f>'Breakdown Bank 2018-2014'!Q29</f>
        <v>361528468</v>
      </c>
      <c r="R9" s="6">
        <f>'Breakdown Bank 2018-2014'!R29</f>
        <v>388279280</v>
      </c>
      <c r="S9" s="6">
        <f>'Breakdown Bank 2018-2014'!S29</f>
        <v>280045811</v>
      </c>
      <c r="T9" s="6">
        <f>'Breakdown Bank 2018-2014'!T29</f>
        <v>312693762</v>
      </c>
      <c r="U9" s="6">
        <f>'Breakdown Bank 2018-2014'!U29</f>
        <v>310555770</v>
      </c>
      <c r="V9" s="6">
        <f>'Breakdown Bank 2018-2014'!V29</f>
        <v>311483054</v>
      </c>
      <c r="W9" s="6">
        <f>'Breakdown Bank 2018-2014'!W29</f>
        <v>14816658</v>
      </c>
      <c r="X9" s="6">
        <f>'Breakdown Bank 2018-2014'!X29</f>
        <v>14597912</v>
      </c>
      <c r="Y9" s="6">
        <f>'Breakdown Bank 2018-2014'!Y29</f>
        <v>15037338</v>
      </c>
      <c r="Z9" s="6">
        <f>'Breakdown Bank 2018-2014'!Z29</f>
        <v>15232981</v>
      </c>
      <c r="AA9" s="6">
        <f>'Breakdown Bank 2018-2014'!AA29</f>
        <v>17498520</v>
      </c>
      <c r="AB9" s="6">
        <f>'Breakdown Bank 2018-2014'!AB29</f>
        <v>16982773</v>
      </c>
      <c r="AC9" s="6">
        <f>'Breakdown Bank 2018-2014'!AC29</f>
        <v>16849086</v>
      </c>
      <c r="AD9" s="6">
        <f>'Breakdown Bank 2018-2014'!AD29</f>
        <v>14790238</v>
      </c>
      <c r="AE9" s="6">
        <f>'Breakdown Bank 2018-2014'!AE29</f>
        <v>13038717</v>
      </c>
      <c r="AF9" s="6">
        <f>'Breakdown Bank 2018-2014'!AF29</f>
        <v>14883245</v>
      </c>
      <c r="AG9" s="6">
        <f>'Breakdown Bank 2018-2014'!AG29</f>
        <v>16466076</v>
      </c>
      <c r="AH9" s="6">
        <f>'Breakdown Bank 2018-2014'!AH29</f>
        <v>16799215</v>
      </c>
      <c r="AI9" s="6">
        <f>'Breakdown Bank 2018-2014'!AI29</f>
        <v>7460733</v>
      </c>
      <c r="AJ9" s="6">
        <f>'Breakdown Bank 2018-2014'!AJ29</f>
        <v>11654835</v>
      </c>
      <c r="AK9" s="6">
        <f>'Breakdown Bank 2018-2014'!AK29</f>
        <v>11948666</v>
      </c>
      <c r="AL9" s="6">
        <f>'Breakdown Bank 2018-2014'!AL29</f>
        <v>12155021</v>
      </c>
      <c r="AM9" s="6">
        <f>'Breakdown Bank 2018-2014'!AM29</f>
        <v>7300073</v>
      </c>
      <c r="AN9" s="6">
        <f>'Breakdown Bank 2018-2014'!AN29</f>
        <v>7220485</v>
      </c>
      <c r="AO9" s="6">
        <f>'Breakdown Bank 2018-2014'!AO29</f>
        <v>7592442</v>
      </c>
      <c r="AP9" s="6">
        <f>'Breakdown Bank 2018-2014'!AP29</f>
        <v>7039676</v>
      </c>
      <c r="AQ9" s="33">
        <f t="shared" si="20"/>
        <v>2.9592875796394682</v>
      </c>
      <c r="AR9" s="33">
        <f t="shared" si="1"/>
        <v>2.7013656205380498</v>
      </c>
      <c r="AS9" s="33">
        <f t="shared" si="2"/>
        <v>2.6378165499696622</v>
      </c>
      <c r="AT9" s="33">
        <f t="shared" si="3"/>
        <v>2.495327128416402</v>
      </c>
      <c r="AU9" s="33">
        <f t="shared" si="4"/>
        <v>3.7659901026961955</v>
      </c>
      <c r="AV9" s="33">
        <f t="shared" si="5"/>
        <v>3.5932443547277759</v>
      </c>
      <c r="AW9" s="33">
        <f t="shared" si="6"/>
        <v>3.3864187453932284</v>
      </c>
      <c r="AX9" s="33">
        <f t="shared" si="7"/>
        <v>2.815496511463691</v>
      </c>
      <c r="AY9" s="33">
        <f t="shared" si="8"/>
        <v>3.4170195903329397</v>
      </c>
      <c r="AZ9" s="33">
        <f t="shared" si="9"/>
        <v>3.71469175039097</v>
      </c>
      <c r="BA9" s="33">
        <f t="shared" si="10"/>
        <v>3.8168256744128422</v>
      </c>
      <c r="BB9" s="33">
        <f t="shared" si="11"/>
        <v>3.6788297834930721</v>
      </c>
      <c r="BC9" s="33">
        <f t="shared" si="12"/>
        <v>2.402622648735369</v>
      </c>
      <c r="BD9" s="33">
        <f t="shared" si="13"/>
        <v>3.4196922150691691</v>
      </c>
      <c r="BE9" s="33">
        <f t="shared" si="14"/>
        <v>3.3050415271861797</v>
      </c>
      <c r="BF9" s="33">
        <f t="shared" si="15"/>
        <v>3.1304840680656461</v>
      </c>
      <c r="BG9" s="33">
        <f t="shared" si="16"/>
        <v>2.6067424375792574</v>
      </c>
      <c r="BH9" s="33">
        <f t="shared" si="17"/>
        <v>2.3091234547876911</v>
      </c>
      <c r="BI9" s="33">
        <f t="shared" si="18"/>
        <v>2.4447918001974331</v>
      </c>
      <c r="BJ9" s="33">
        <f t="shared" si="19"/>
        <v>2.2600510395663451</v>
      </c>
    </row>
    <row r="10" spans="1:62" x14ac:dyDescent="0.2">
      <c r="A10" s="2">
        <v>7</v>
      </c>
      <c r="B10" s="2" t="s">
        <v>17</v>
      </c>
      <c r="C10" s="6">
        <f>'Breakdown Bank 2018-2014'!C42</f>
        <v>818698985</v>
      </c>
      <c r="D10" s="6">
        <f>'Breakdown Bank 2018-2014'!D42</f>
        <v>863102438</v>
      </c>
      <c r="E10" s="6">
        <f>'Breakdown Bank 2018-2014'!E42</f>
        <v>882756588</v>
      </c>
      <c r="F10" s="6">
        <f>'Breakdown Bank 2018-2014'!F42</f>
        <v>982881118</v>
      </c>
      <c r="G10" s="6">
        <f>'Breakdown Bank 2018-2014'!G42</f>
        <v>749449640</v>
      </c>
      <c r="H10" s="6">
        <f>'Breakdown Bank 2018-2014'!H42</f>
        <v>760147849</v>
      </c>
      <c r="I10" s="6">
        <f>'Breakdown Bank 2018-2014'!I42</f>
        <v>746252234</v>
      </c>
      <c r="J10" s="6">
        <f>'Breakdown Bank 2018-2014'!J42</f>
        <v>816715669</v>
      </c>
      <c r="K10" s="6">
        <f>'Breakdown Bank 2018-2014'!K42</f>
        <v>639181630</v>
      </c>
      <c r="L10" s="6">
        <f>'Breakdown Bank 2018-2014'!L42</f>
        <v>674912466</v>
      </c>
      <c r="M10" s="6">
        <f>'Breakdown Bank 2018-2014'!M42</f>
        <v>704890435</v>
      </c>
      <c r="N10" s="6">
        <f>'Breakdown Bank 2018-2014'!N42</f>
        <v>769858445</v>
      </c>
      <c r="O10" s="6">
        <f>'Breakdown Bank 2018-2014'!O42</f>
        <v>599840160</v>
      </c>
      <c r="P10" s="6">
        <f>'Breakdown Bank 2018-2014'!P42</f>
        <v>596278272</v>
      </c>
      <c r="Q10" s="6">
        <f>'Breakdown Bank 2018-2014'!Q42</f>
        <v>606921330</v>
      </c>
      <c r="R10" s="6">
        <f>'Breakdown Bank 2018-2014'!R42</f>
        <v>652695425</v>
      </c>
      <c r="S10" s="6">
        <f>'Breakdown Bank 2018-2014'!S42</f>
        <v>491356040</v>
      </c>
      <c r="T10" s="6">
        <f>'Breakdown Bank 2018-2014'!T42</f>
        <v>531543886</v>
      </c>
      <c r="U10" s="6">
        <f>'Breakdown Bank 2018-2014'!U42</f>
        <v>551436225</v>
      </c>
      <c r="V10" s="6">
        <f>'Breakdown Bank 2018-2014'!V42</f>
        <v>600366396</v>
      </c>
      <c r="W10" s="6">
        <f>'Breakdown Bank 2018-2014'!W42</f>
        <v>32564550</v>
      </c>
      <c r="X10" s="6">
        <f>'Breakdown Bank 2018-2014'!X42</f>
        <v>34877070</v>
      </c>
      <c r="Y10" s="6">
        <f>'Breakdown Bank 2018-2014'!Y42</f>
        <v>35554878</v>
      </c>
      <c r="Z10" s="6">
        <f>'Breakdown Bank 2018-2014'!Z42</f>
        <v>35603123</v>
      </c>
      <c r="AA10" s="6">
        <f>'Breakdown Bank 2018-2014'!AA42</f>
        <v>26527079</v>
      </c>
      <c r="AB10" s="6">
        <f>'Breakdown Bank 2018-2014'!AB42</f>
        <v>29822617</v>
      </c>
      <c r="AC10" s="6">
        <f>'Breakdown Bank 2018-2014'!AC42</f>
        <v>32054637</v>
      </c>
      <c r="AD10" s="6">
        <f>'Breakdown Bank 2018-2014'!AD42</f>
        <v>30104137</v>
      </c>
      <c r="AE10" s="6">
        <f>'Breakdown Bank 2018-2014'!AE42</f>
        <v>19156974</v>
      </c>
      <c r="AF10" s="6">
        <f>'Breakdown Bank 2018-2014'!AF42</f>
        <v>21164639</v>
      </c>
      <c r="AG10" s="6">
        <f>'Breakdown Bank 2018-2014'!AG42</f>
        <v>23121867</v>
      </c>
      <c r="AH10" s="6">
        <f>'Breakdown Bank 2018-2014'!AH42</f>
        <v>22806452</v>
      </c>
      <c r="AI10" s="6">
        <f>'Breakdown Bank 2018-2014'!AI42</f>
        <v>16417688</v>
      </c>
      <c r="AJ10" s="6">
        <f>'Breakdown Bank 2018-2014'!AJ42</f>
        <v>17052456</v>
      </c>
      <c r="AK10" s="6">
        <f>'Breakdown Bank 2018-2014'!AK42</f>
        <v>17939785</v>
      </c>
      <c r="AL10" s="6">
        <f>'Breakdown Bank 2018-2014'!AL42</f>
        <v>17514435</v>
      </c>
      <c r="AM10" s="6">
        <f>'Breakdown Bank 2018-2014'!AM42</f>
        <v>15739512</v>
      </c>
      <c r="AN10" s="6">
        <f>'Breakdown Bank 2018-2014'!AN42</f>
        <v>16759180</v>
      </c>
      <c r="AO10" s="6">
        <f>'Breakdown Bank 2018-2014'!AO42</f>
        <v>16978161</v>
      </c>
      <c r="AP10" s="6">
        <f>'Breakdown Bank 2018-2014'!AP42</f>
        <v>16162795</v>
      </c>
      <c r="AQ10" s="33">
        <f t="shared" si="20"/>
        <v>3.9775974560417953</v>
      </c>
      <c r="AR10" s="33">
        <f t="shared" si="1"/>
        <v>4.0408957806697794</v>
      </c>
      <c r="AS10" s="33">
        <f t="shared" si="2"/>
        <v>4.0277102978697901</v>
      </c>
      <c r="AT10" s="33">
        <f t="shared" si="3"/>
        <v>3.6223224099010523</v>
      </c>
      <c r="AU10" s="33">
        <f t="shared" si="4"/>
        <v>3.5395412292145476</v>
      </c>
      <c r="AV10" s="33">
        <f t="shared" si="5"/>
        <v>3.9232653278217717</v>
      </c>
      <c r="AW10" s="33">
        <f t="shared" si="6"/>
        <v>4.2954158848119439</v>
      </c>
      <c r="AX10" s="33">
        <f t="shared" si="7"/>
        <v>3.6859996866302316</v>
      </c>
      <c r="AY10" s="33">
        <f t="shared" si="8"/>
        <v>2.9971096009126548</v>
      </c>
      <c r="AZ10" s="33">
        <f t="shared" si="9"/>
        <v>3.1359087387193112</v>
      </c>
      <c r="BA10" s="33">
        <f t="shared" si="10"/>
        <v>3.280207228233988</v>
      </c>
      <c r="BB10" s="33">
        <f t="shared" si="11"/>
        <v>2.9624214877580513</v>
      </c>
      <c r="BC10" s="33">
        <f t="shared" si="12"/>
        <v>2.7370104729233202</v>
      </c>
      <c r="BD10" s="33">
        <f t="shared" si="13"/>
        <v>2.8598150898243699</v>
      </c>
      <c r="BE10" s="33">
        <f t="shared" si="14"/>
        <v>2.9558666194842749</v>
      </c>
      <c r="BF10" s="33">
        <f t="shared" si="15"/>
        <v>2.6834009139867958</v>
      </c>
      <c r="BG10" s="33">
        <f t="shared" si="16"/>
        <v>3.2032804562654809</v>
      </c>
      <c r="BH10" s="33">
        <f t="shared" si="17"/>
        <v>3.1529249872700067</v>
      </c>
      <c r="BI10" s="33">
        <f t="shared" si="18"/>
        <v>3.0788983803158745</v>
      </c>
      <c r="BJ10" s="33">
        <f t="shared" si="19"/>
        <v>2.6921551751873869</v>
      </c>
    </row>
    <row r="11" spans="1:62" x14ac:dyDescent="0.2">
      <c r="A11" s="2">
        <v>8</v>
      </c>
      <c r="B11" s="2" t="s">
        <v>19</v>
      </c>
      <c r="C11" s="6">
        <f>'Breakdown Bank 2018-2014'!C49</f>
        <v>184243292</v>
      </c>
      <c r="D11" s="6">
        <f>'Breakdown Bank 2018-2014'!D49</f>
        <v>192074155</v>
      </c>
      <c r="E11" s="6">
        <f>'Breakdown Bank 2018-2014'!E49</f>
        <v>200225903</v>
      </c>
      <c r="F11" s="6">
        <f>'Breakdown Bank 2018-2014'!F49</f>
        <v>240414649</v>
      </c>
      <c r="G11" s="6">
        <f>'Breakdown Bank 2018-2014'!G49</f>
        <v>155331265</v>
      </c>
      <c r="H11" s="6">
        <f>'Breakdown Bank 2018-2014'!H49</f>
        <v>162191773</v>
      </c>
      <c r="I11" s="6">
        <f>'Breakdown Bank 2018-2014'!I49</f>
        <v>168312086</v>
      </c>
      <c r="J11" s="6">
        <f>'Breakdown Bank 2018-2014'!J49</f>
        <v>181568861</v>
      </c>
      <c r="K11" s="6">
        <f>'Breakdown Bank 2018-2014'!K49</f>
        <v>131613174</v>
      </c>
      <c r="L11" s="6">
        <f>'Breakdown Bank 2018-2014'!L49</f>
        <v>137168589</v>
      </c>
      <c r="M11" s="6">
        <f>'Breakdown Bank 2018-2014'!M49</f>
        <v>0</v>
      </c>
      <c r="N11" s="6">
        <f>'Breakdown Bank 2018-2014'!N49</f>
        <v>150544748</v>
      </c>
      <c r="O11" s="6">
        <f>'Breakdown Bank 2018-2014'!O49</f>
        <v>110829965</v>
      </c>
      <c r="P11" s="6">
        <f>'Breakdown Bank 2018-2014'!P49</f>
        <v>116247426</v>
      </c>
      <c r="Q11" s="6">
        <f>'Breakdown Bank 2018-2014'!Q49</f>
        <v>121437820</v>
      </c>
      <c r="R11" s="6">
        <f>'Breakdown Bank 2018-2014'!R49</f>
        <v>127935091</v>
      </c>
      <c r="S11" s="6">
        <f>'Breakdown Bank 2018-2014'!S49</f>
        <v>94852508</v>
      </c>
      <c r="T11" s="6">
        <f>'Breakdown Bank 2018-2014'!T49</f>
        <v>98497065</v>
      </c>
      <c r="U11" s="6">
        <f>'Breakdown Bank 2018-2014'!U49</f>
        <v>102248487</v>
      </c>
      <c r="V11" s="6">
        <f>'Breakdown Bank 2018-2014'!V49</f>
        <v>107366241</v>
      </c>
      <c r="W11" s="6">
        <f>'Breakdown Bank 2018-2014'!W49</f>
        <v>2099197</v>
      </c>
      <c r="X11" s="6">
        <f>'Breakdown Bank 2018-2014'!X49</f>
        <v>2122556</v>
      </c>
      <c r="Y11" s="6">
        <f>'Breakdown Bank 2018-2014'!Y49</f>
        <v>2337703</v>
      </c>
      <c r="Z11" s="6">
        <f>'Breakdown Bank 2018-2014'!Z49</f>
        <v>3299850</v>
      </c>
      <c r="AA11" s="6">
        <f>'Breakdown Bank 2018-2014'!AA49</f>
        <v>1785573</v>
      </c>
      <c r="AB11" s="6">
        <f>'Breakdown Bank 2018-2014'!AB49</f>
        <v>1839456</v>
      </c>
      <c r="AC11" s="6">
        <f>'Breakdown Bank 2018-2014'!AC49</f>
        <v>1935018</v>
      </c>
      <c r="AD11" s="6">
        <f>'Breakdown Bank 2018-2014'!AD49</f>
        <v>2026257</v>
      </c>
      <c r="AE11" s="6">
        <f>'Breakdown Bank 2018-2014'!AE49</f>
        <v>1784003</v>
      </c>
      <c r="AF11" s="6">
        <f>'Breakdown Bank 2018-2014'!AF49</f>
        <v>1766308</v>
      </c>
      <c r="AG11" s="6">
        <f>'Breakdown Bank 2018-2014'!AG49</f>
        <v>0</v>
      </c>
      <c r="AH11" s="6">
        <f>'Breakdown Bank 2018-2014'!AH49</f>
        <v>1726417</v>
      </c>
      <c r="AI11" s="6">
        <f>'Breakdown Bank 2018-2014'!AI49</f>
        <v>1453679</v>
      </c>
      <c r="AJ11" s="6">
        <f>'Breakdown Bank 2018-2014'!AJ49</f>
        <v>1505171</v>
      </c>
      <c r="AK11" s="6">
        <f>'Breakdown Bank 2018-2014'!AK49</f>
        <v>1688301</v>
      </c>
      <c r="AL11" s="6">
        <f>'Breakdown Bank 2018-2014'!AL49</f>
        <v>1727296</v>
      </c>
      <c r="AM11" s="6">
        <f>'Breakdown Bank 2018-2014'!AM49</f>
        <v>1219357</v>
      </c>
      <c r="AN11" s="6">
        <f>'Breakdown Bank 2018-2014'!AN49</f>
        <v>1240480</v>
      </c>
      <c r="AO11" s="6">
        <f>'Breakdown Bank 2018-2014'!AO49</f>
        <v>1330629</v>
      </c>
      <c r="AP11" s="6">
        <f>'Breakdown Bank 2018-2014'!AP49</f>
        <v>1366983</v>
      </c>
      <c r="AQ11" s="33">
        <f t="shared" si="20"/>
        <v>1.139361426520755</v>
      </c>
      <c r="AR11" s="33">
        <f t="shared" si="1"/>
        <v>1.1050711117276555</v>
      </c>
      <c r="AS11" s="33">
        <f t="shared" si="2"/>
        <v>1.1675327542410934</v>
      </c>
      <c r="AT11" s="33">
        <f t="shared" si="3"/>
        <v>1.3725661118096011</v>
      </c>
      <c r="AU11" s="33">
        <f t="shared" si="4"/>
        <v>1.1495258214757988</v>
      </c>
      <c r="AV11" s="33">
        <f t="shared" si="5"/>
        <v>1.1341241087487217</v>
      </c>
      <c r="AW11" s="33">
        <f t="shared" si="6"/>
        <v>1.1496607557938532</v>
      </c>
      <c r="AX11" s="33">
        <f t="shared" si="7"/>
        <v>1.1159716422960873</v>
      </c>
      <c r="AY11" s="33">
        <f t="shared" si="8"/>
        <v>1.3554896867695021</v>
      </c>
      <c r="AZ11" s="33">
        <f t="shared" si="9"/>
        <v>1.287691309560675</v>
      </c>
      <c r="BA11" s="33">
        <f t="shared" si="10"/>
        <v>0</v>
      </c>
      <c r="BB11" s="33">
        <f t="shared" si="11"/>
        <v>1.1467799594044954</v>
      </c>
      <c r="BC11" s="33">
        <f t="shared" si="12"/>
        <v>1.3116299369037967</v>
      </c>
      <c r="BD11" s="33">
        <f t="shared" si="13"/>
        <v>1.2947994220534398</v>
      </c>
      <c r="BE11" s="33">
        <f t="shared" si="14"/>
        <v>1.3902596406951311</v>
      </c>
      <c r="BF11" s="33">
        <f t="shared" si="15"/>
        <v>1.3501346553933353</v>
      </c>
      <c r="BG11" s="33">
        <f t="shared" si="16"/>
        <v>1.2855295296988878</v>
      </c>
      <c r="BH11" s="33">
        <f t="shared" si="17"/>
        <v>1.259408084900804</v>
      </c>
      <c r="BI11" s="33">
        <f t="shared" si="18"/>
        <v>1.3013679116836223</v>
      </c>
      <c r="BJ11" s="33">
        <f t="shared" si="19"/>
        <v>1.2731962926782545</v>
      </c>
    </row>
    <row r="12" spans="1:62" x14ac:dyDescent="0.2">
      <c r="A12" s="2">
        <v>9</v>
      </c>
      <c r="B12" s="2" t="s">
        <v>21</v>
      </c>
      <c r="C12" s="6">
        <f>'Breakdown Bank 2018-2014'!C59</f>
        <v>813410889</v>
      </c>
      <c r="D12" s="6">
        <f>'Breakdown Bank 2018-2014'!D59</f>
        <v>870114318</v>
      </c>
      <c r="E12" s="6">
        <f>'Breakdown Bank 2018-2014'!E59</f>
        <v>867834706</v>
      </c>
      <c r="F12" s="6">
        <f>'Breakdown Bank 2018-2014'!F59</f>
        <v>894459258</v>
      </c>
      <c r="G12" s="6">
        <f>'Breakdown Bank 2018-2014'!G59</f>
        <v>768412758</v>
      </c>
      <c r="H12" s="6">
        <f>'Breakdown Bank 2018-2014'!H59</f>
        <v>794214294</v>
      </c>
      <c r="I12" s="6">
        <f>'Breakdown Bank 2018-2014'!I59</f>
        <v>804722318</v>
      </c>
      <c r="J12" s="6">
        <f>'Breakdown Bank 2018-2014'!J59</f>
        <v>852150960</v>
      </c>
      <c r="K12" s="6">
        <f>'Breakdown Bank 2018-2014'!K59</f>
        <v>669573093</v>
      </c>
      <c r="L12" s="6">
        <f>'Breakdown Bank 2018-2014'!L59</f>
        <v>717193604</v>
      </c>
      <c r="M12" s="6">
        <f>'Breakdown Bank 2018-2014'!M59</f>
        <v>719021760</v>
      </c>
      <c r="N12" s="6">
        <f>'Breakdown Bank 2018-2014'!N59</f>
        <v>775954980</v>
      </c>
      <c r="O12" s="6">
        <f>'Breakdown Bank 2018-2014'!O59</f>
        <v>637628861</v>
      </c>
      <c r="P12" s="6">
        <f>'Breakdown Bank 2018-2014'!P59</f>
        <v>669352092</v>
      </c>
      <c r="Q12" s="6">
        <f>'Breakdown Bank 2018-2014'!Q59</f>
        <v>143460279</v>
      </c>
      <c r="R12" s="6">
        <f>'Breakdown Bank 2018-2014'!R59</f>
        <v>668640535</v>
      </c>
      <c r="S12" s="6">
        <f>'Breakdown Bank 2018-2014'!S59</f>
        <v>539766210</v>
      </c>
      <c r="T12" s="6">
        <f>'Breakdown Bank 2018-2014'!T59</f>
        <v>570675008</v>
      </c>
      <c r="U12" s="6">
        <f>'Breakdown Bank 2018-2014'!U59</f>
        <v>598795827</v>
      </c>
      <c r="V12" s="6">
        <f>'Breakdown Bank 2018-2014'!V59</f>
        <v>624155142</v>
      </c>
      <c r="W12" s="6">
        <f>'Breakdown Bank 2018-2014'!W59</f>
        <v>33377737</v>
      </c>
      <c r="X12" s="6">
        <f>'Breakdown Bank 2018-2014'!X59</f>
        <v>34063817</v>
      </c>
      <c r="Y12" s="6">
        <f>'Breakdown Bank 2018-2014'!Y59</f>
        <v>33978279</v>
      </c>
      <c r="Z12" s="6">
        <f>'Breakdown Bank 2018-2014'!Z59</f>
        <v>34122962</v>
      </c>
      <c r="AA12" s="6">
        <f>'Breakdown Bank 2018-2014'!AA59</f>
        <v>36392101</v>
      </c>
      <c r="AB12" s="6">
        <f>'Breakdown Bank 2018-2014'!AB59</f>
        <v>36685902</v>
      </c>
      <c r="AC12" s="6">
        <f>'Breakdown Bank 2018-2014'!AC59</f>
        <v>36422002</v>
      </c>
      <c r="AD12" s="6">
        <f>'Breakdown Bank 2018-2014'!AD59</f>
        <v>35764970</v>
      </c>
      <c r="AE12" s="6">
        <f>'Breakdown Bank 2018-2014'!AE59</f>
        <v>26156428</v>
      </c>
      <c r="AF12" s="6">
        <f>'Breakdown Bank 2018-2014'!AF59</f>
        <v>28636706</v>
      </c>
      <c r="AG12" s="6">
        <f>'Breakdown Bank 2018-2014'!AG59</f>
        <v>32115604</v>
      </c>
      <c r="AH12" s="6">
        <f>'Breakdown Bank 2018-2014'!AH59</f>
        <v>35024383</v>
      </c>
      <c r="AI12" s="6">
        <f>'Breakdown Bank 2018-2014'!AI59</f>
        <v>20217897</v>
      </c>
      <c r="AJ12" s="6">
        <f>'Breakdown Bank 2018-2014'!AJ59</f>
        <v>20609641</v>
      </c>
      <c r="AK12" s="6">
        <f>'Breakdown Bank 2018-2014'!AK59</f>
        <v>22663373</v>
      </c>
      <c r="AL12" s="6">
        <f>'Breakdown Bank 2018-2014'!AL59</f>
        <v>24457405</v>
      </c>
      <c r="AM12" s="6">
        <f>'Breakdown Bank 2018-2014'!AM59</f>
        <v>18321169</v>
      </c>
      <c r="AN12" s="6">
        <f>'Breakdown Bank 2018-2014'!AN59</f>
        <v>19158543</v>
      </c>
      <c r="AO12" s="6">
        <f>'Breakdown Bank 2018-2014'!AO59</f>
        <v>19030415</v>
      </c>
      <c r="AP12" s="6">
        <f>'Breakdown Bank 2018-2014'!AP59</f>
        <v>19693508</v>
      </c>
      <c r="AQ12" s="33">
        <f t="shared" si="20"/>
        <v>4.1034288391484761</v>
      </c>
      <c r="AR12" s="33">
        <f t="shared" si="1"/>
        <v>3.9148668508636124</v>
      </c>
      <c r="AS12" s="33">
        <f t="shared" si="2"/>
        <v>3.9152938647281985</v>
      </c>
      <c r="AT12" s="33">
        <f t="shared" si="3"/>
        <v>3.8149263585575186</v>
      </c>
      <c r="AU12" s="33">
        <f t="shared" si="4"/>
        <v>4.7360094716178569</v>
      </c>
      <c r="AV12" s="33">
        <f t="shared" si="5"/>
        <v>4.6191440115279514</v>
      </c>
      <c r="AW12" s="33">
        <f t="shared" si="6"/>
        <v>4.5260335379439551</v>
      </c>
      <c r="AX12" s="33">
        <f t="shared" si="7"/>
        <v>4.1970227904220163</v>
      </c>
      <c r="AY12" s="33">
        <f t="shared" si="8"/>
        <v>3.906433557956607</v>
      </c>
      <c r="AZ12" s="33">
        <f t="shared" si="9"/>
        <v>3.9928836286721823</v>
      </c>
      <c r="BA12" s="33">
        <f t="shared" si="10"/>
        <v>4.4665691341524907</v>
      </c>
      <c r="BB12" s="33">
        <f t="shared" si="11"/>
        <v>4.5137132826958597</v>
      </c>
      <c r="BC12" s="33">
        <f t="shared" si="12"/>
        <v>3.170793895416224</v>
      </c>
      <c r="BD12" s="33">
        <f t="shared" si="13"/>
        <v>3.0790433385244431</v>
      </c>
      <c r="BE12" s="33">
        <f t="shared" si="14"/>
        <v>15.797664104640422</v>
      </c>
      <c r="BF12" s="33">
        <f t="shared" si="15"/>
        <v>3.6577807835117264</v>
      </c>
      <c r="BG12" s="33">
        <f t="shared" si="16"/>
        <v>3.3942786081403651</v>
      </c>
      <c r="BH12" s="33">
        <f t="shared" si="17"/>
        <v>3.3571722489028288</v>
      </c>
      <c r="BI12" s="33">
        <f t="shared" si="18"/>
        <v>3.178114165448251</v>
      </c>
      <c r="BJ12" s="33">
        <f t="shared" si="19"/>
        <v>3.1552264292649213</v>
      </c>
    </row>
    <row r="13" spans="1:62" x14ac:dyDescent="0.2">
      <c r="A13" s="2">
        <v>10</v>
      </c>
      <c r="B13" s="2" t="s">
        <v>25</v>
      </c>
      <c r="C13" s="6">
        <f>510368678400+W13</f>
        <v>512107068804</v>
      </c>
      <c r="D13" s="6">
        <f>19019+395556+X13</f>
        <v>416313</v>
      </c>
      <c r="E13" s="11">
        <f>363209994435+Y13</f>
        <v>364948384839</v>
      </c>
      <c r="F13" s="11">
        <v>294688156135</v>
      </c>
      <c r="G13" s="11">
        <f>492870701823+AA13</f>
        <v>494609092227</v>
      </c>
      <c r="H13" s="11">
        <f>577283547722+AB13</f>
        <v>579021938126</v>
      </c>
      <c r="I13" s="11">
        <f>565007601333+AC13</f>
        <v>566745991737</v>
      </c>
      <c r="J13" s="11">
        <f>491239309780+AD13</f>
        <v>492977700184</v>
      </c>
      <c r="K13" s="11">
        <f>175953487460+AE13</f>
        <v>177691877864</v>
      </c>
      <c r="L13" s="11">
        <f>14892+203261+AF13</f>
        <v>219891</v>
      </c>
      <c r="M13" s="11">
        <f>224753975610+AG13</f>
        <v>226492366014</v>
      </c>
      <c r="N13" s="11">
        <f>406311106239+AH13</f>
        <v>408049496643</v>
      </c>
      <c r="O13" s="6">
        <f>99136452662+AI13</f>
        <v>100874843066</v>
      </c>
      <c r="P13" s="11">
        <f>18206+69570+AJ13</f>
        <v>89514</v>
      </c>
      <c r="Q13" s="11">
        <f>128150854474+AK13</f>
        <v>129889244878</v>
      </c>
      <c r="R13" s="11">
        <f>144319843294+AL13</f>
        <v>146058233698</v>
      </c>
      <c r="S13" s="11">
        <f>120677866883+AM13</f>
        <v>122416257287</v>
      </c>
      <c r="T13" s="11">
        <f>121383267850+AN13</f>
        <v>123121658254</v>
      </c>
      <c r="U13" s="11">
        <f>158609703549+AO13</f>
        <v>160348093953</v>
      </c>
      <c r="V13" s="11">
        <f>108763163086+AP13</f>
        <v>110501553490</v>
      </c>
      <c r="W13" s="6">
        <v>1738390404</v>
      </c>
      <c r="X13" s="6">
        <v>1738</v>
      </c>
      <c r="Y13" s="6">
        <v>1738390404</v>
      </c>
      <c r="Z13" s="6">
        <v>1738390404</v>
      </c>
      <c r="AA13" s="6">
        <v>1738390404</v>
      </c>
      <c r="AB13" s="6">
        <v>1738390404</v>
      </c>
      <c r="AC13" s="6">
        <v>1738390404</v>
      </c>
      <c r="AD13" s="6">
        <v>1738390404</v>
      </c>
      <c r="AE13" s="6">
        <v>1738390404</v>
      </c>
      <c r="AF13" s="6">
        <v>1738</v>
      </c>
      <c r="AG13" s="6">
        <v>1738390404</v>
      </c>
      <c r="AH13" s="6">
        <v>1738390404</v>
      </c>
      <c r="AI13" s="6">
        <v>1738390404</v>
      </c>
      <c r="AJ13" s="6">
        <v>1738</v>
      </c>
      <c r="AK13" s="6">
        <v>1738390404</v>
      </c>
      <c r="AL13" s="6">
        <v>1738390404</v>
      </c>
      <c r="AM13" s="6">
        <v>1738390404</v>
      </c>
      <c r="AN13" s="6">
        <v>1738390404</v>
      </c>
      <c r="AO13" s="6">
        <v>1738390404</v>
      </c>
      <c r="AP13" s="6">
        <v>1738390404</v>
      </c>
      <c r="AQ13" s="33">
        <f t="shared" si="20"/>
        <v>0.33945838866468342</v>
      </c>
      <c r="AR13" s="33">
        <f t="shared" si="1"/>
        <v>0.41747435223017293</v>
      </c>
      <c r="AS13" s="33">
        <f t="shared" si="2"/>
        <v>0.47633870328454947</v>
      </c>
      <c r="AT13" s="33">
        <f t="shared" si="3"/>
        <v>0.58990847368959864</v>
      </c>
      <c r="AU13" s="33">
        <f t="shared" si="4"/>
        <v>0.35146753897564192</v>
      </c>
      <c r="AV13" s="33">
        <f t="shared" si="5"/>
        <v>0.30022876328767212</v>
      </c>
      <c r="AW13" s="33">
        <f t="shared" si="6"/>
        <v>0.30673183919167524</v>
      </c>
      <c r="AX13" s="33">
        <f t="shared" si="7"/>
        <v>0.35263063691342622</v>
      </c>
      <c r="AY13" s="33">
        <f t="shared" si="8"/>
        <v>0.9783173124719361</v>
      </c>
      <c r="AZ13" s="33">
        <f t="shared" si="9"/>
        <v>0.79039160311245116</v>
      </c>
      <c r="BA13" s="33">
        <f t="shared" si="10"/>
        <v>0.76752715095596036</v>
      </c>
      <c r="BB13" s="33">
        <f t="shared" si="11"/>
        <v>0.42602439613371396</v>
      </c>
      <c r="BC13" s="33">
        <f t="shared" si="12"/>
        <v>1.7233141100032372</v>
      </c>
      <c r="BD13" s="33">
        <f t="shared" si="13"/>
        <v>1.9415957280425409</v>
      </c>
      <c r="BE13" s="33">
        <f t="shared" si="14"/>
        <v>1.3383636232798208</v>
      </c>
      <c r="BF13" s="33">
        <f t="shared" si="15"/>
        <v>1.190203633158001</v>
      </c>
      <c r="BG13" s="33">
        <f t="shared" si="16"/>
        <v>1.4200649836274715</v>
      </c>
      <c r="BH13" s="33">
        <f t="shared" si="17"/>
        <v>1.411929004735869</v>
      </c>
      <c r="BI13" s="33">
        <f t="shared" si="18"/>
        <v>1.0841353714560171</v>
      </c>
      <c r="BJ13" s="33">
        <f t="shared" si="19"/>
        <v>1.5731818685764614</v>
      </c>
    </row>
    <row r="14" spans="1:62" x14ac:dyDescent="0.2">
      <c r="A14" s="2">
        <v>11</v>
      </c>
      <c r="B14" s="2" t="s">
        <v>31</v>
      </c>
      <c r="C14" s="6">
        <v>760989</v>
      </c>
      <c r="D14" s="6">
        <v>812556</v>
      </c>
      <c r="E14" s="11">
        <v>615355</v>
      </c>
      <c r="F14" s="11">
        <v>627435</v>
      </c>
      <c r="G14" s="11">
        <v>794272</v>
      </c>
      <c r="H14" s="11">
        <v>988362</v>
      </c>
      <c r="I14" s="11">
        <v>793464</v>
      </c>
      <c r="J14" s="11">
        <v>681248</v>
      </c>
      <c r="K14" s="11">
        <v>1235323</v>
      </c>
      <c r="L14" s="11">
        <v>713385</v>
      </c>
      <c r="M14" s="11">
        <v>623953</v>
      </c>
      <c r="N14" s="11">
        <v>706011</v>
      </c>
      <c r="O14" s="11">
        <v>1477319</v>
      </c>
      <c r="P14" s="11">
        <v>1110589</v>
      </c>
      <c r="Q14" s="11">
        <v>1235946</v>
      </c>
      <c r="R14" s="11">
        <v>931825</v>
      </c>
      <c r="S14" s="11">
        <v>1824402</v>
      </c>
      <c r="T14" s="11">
        <v>1739570</v>
      </c>
      <c r="U14" s="11">
        <v>1204710</v>
      </c>
      <c r="V14" s="11">
        <v>1187393</v>
      </c>
      <c r="W14" s="6">
        <v>161371</v>
      </c>
      <c r="X14" s="6">
        <v>150440</v>
      </c>
      <c r="Y14" s="6">
        <v>199875</v>
      </c>
      <c r="Z14" s="6">
        <v>196694</v>
      </c>
      <c r="AA14" s="6">
        <v>105437</v>
      </c>
      <c r="AB14" s="6">
        <v>126692</v>
      </c>
      <c r="AC14" s="6">
        <v>137556</v>
      </c>
      <c r="AD14" s="6">
        <v>179928</v>
      </c>
      <c r="AE14" s="6">
        <v>89547</v>
      </c>
      <c r="AF14" s="6">
        <v>84070</v>
      </c>
      <c r="AG14" s="6">
        <v>84998</v>
      </c>
      <c r="AH14" s="6">
        <v>92468</v>
      </c>
      <c r="AI14" s="6">
        <v>84699</v>
      </c>
      <c r="AJ14" s="6">
        <v>75202</v>
      </c>
      <c r="AK14" s="6">
        <v>77927</v>
      </c>
      <c r="AL14" s="6">
        <v>83296</v>
      </c>
      <c r="AM14" s="6">
        <v>63470</v>
      </c>
      <c r="AN14" s="6">
        <v>66538</v>
      </c>
      <c r="AO14" s="6">
        <v>69161</v>
      </c>
      <c r="AP14" s="6">
        <v>71023</v>
      </c>
      <c r="AQ14" s="33">
        <f t="shared" si="20"/>
        <v>21.205431353147024</v>
      </c>
      <c r="AR14" s="33">
        <f t="shared" si="1"/>
        <v>18.514416237157807</v>
      </c>
      <c r="AS14" s="33">
        <f t="shared" si="2"/>
        <v>32.481250660188024</v>
      </c>
      <c r="AT14" s="33">
        <f t="shared" si="3"/>
        <v>31.348904667415749</v>
      </c>
      <c r="AU14" s="33">
        <f t="shared" si="4"/>
        <v>13.274671649006889</v>
      </c>
      <c r="AV14" s="33">
        <f t="shared" si="5"/>
        <v>12.818380310048344</v>
      </c>
      <c r="AW14" s="33">
        <f t="shared" si="6"/>
        <v>17.336136233023804</v>
      </c>
      <c r="AX14" s="33">
        <f t="shared" si="7"/>
        <v>26.411527079712528</v>
      </c>
      <c r="AY14" s="33">
        <f t="shared" si="8"/>
        <v>7.2488733715797409</v>
      </c>
      <c r="AZ14" s="33">
        <f t="shared" si="9"/>
        <v>11.78466045683607</v>
      </c>
      <c r="BA14" s="33">
        <f t="shared" si="10"/>
        <v>13.622500412691341</v>
      </c>
      <c r="BB14" s="33">
        <f t="shared" si="11"/>
        <v>13.09724636018419</v>
      </c>
      <c r="BC14" s="33">
        <f t="shared" si="12"/>
        <v>5.7332911849099615</v>
      </c>
      <c r="BD14" s="33">
        <f t="shared" si="13"/>
        <v>6.7713618629393952</v>
      </c>
      <c r="BE14" s="33">
        <f t="shared" si="14"/>
        <v>6.3050489260857674</v>
      </c>
      <c r="BF14" s="33">
        <f t="shared" si="15"/>
        <v>8.939017519384004</v>
      </c>
      <c r="BG14" s="33">
        <f t="shared" si="16"/>
        <v>3.4789481704141956</v>
      </c>
      <c r="BH14" s="33">
        <f t="shared" si="17"/>
        <v>3.8249682392775228</v>
      </c>
      <c r="BI14" s="33">
        <f t="shared" si="18"/>
        <v>5.7408836981514222</v>
      </c>
      <c r="BJ14" s="33">
        <f t="shared" si="19"/>
        <v>5.9814231682349481</v>
      </c>
    </row>
    <row r="15" spans="1:62" x14ac:dyDescent="0.2">
      <c r="A15" s="2">
        <v>12</v>
      </c>
      <c r="B15" s="2" t="s">
        <v>33</v>
      </c>
      <c r="C15" s="6">
        <v>2493203</v>
      </c>
      <c r="D15" s="6">
        <v>2280552</v>
      </c>
      <c r="E15" s="11">
        <v>2525692</v>
      </c>
      <c r="F15" s="11">
        <v>1725933</v>
      </c>
      <c r="G15" s="11">
        <v>2025989</v>
      </c>
      <c r="H15" s="11">
        <v>3447889</v>
      </c>
      <c r="I15" s="11">
        <v>2252710</v>
      </c>
      <c r="J15" s="11">
        <v>2229097</v>
      </c>
      <c r="K15" s="11">
        <v>1688249</v>
      </c>
      <c r="L15" s="11">
        <v>2483036</v>
      </c>
      <c r="M15" s="11">
        <v>1959263</v>
      </c>
      <c r="N15" s="11">
        <v>2089949</v>
      </c>
      <c r="O15" s="11">
        <v>1530783</v>
      </c>
      <c r="P15" s="11">
        <v>1340891</v>
      </c>
      <c r="Q15" s="11">
        <v>1530558</v>
      </c>
      <c r="R15" s="11">
        <v>1568098</v>
      </c>
      <c r="S15" s="11">
        <v>2374074</v>
      </c>
      <c r="T15" s="11">
        <v>2102288</v>
      </c>
      <c r="U15" s="11">
        <v>1610411</v>
      </c>
      <c r="V15" s="11">
        <v>1532275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33">
        <f t="shared" si="20"/>
        <v>0</v>
      </c>
      <c r="AR15" s="33">
        <f t="shared" si="1"/>
        <v>0</v>
      </c>
      <c r="AS15" s="33">
        <f t="shared" si="2"/>
        <v>0</v>
      </c>
      <c r="AT15" s="33">
        <f t="shared" si="3"/>
        <v>0</v>
      </c>
      <c r="AU15" s="33">
        <f t="shared" si="4"/>
        <v>0</v>
      </c>
      <c r="AV15" s="33">
        <f t="shared" si="5"/>
        <v>0</v>
      </c>
      <c r="AW15" s="33">
        <f t="shared" si="6"/>
        <v>0</v>
      </c>
      <c r="AX15" s="33">
        <f t="shared" si="7"/>
        <v>0</v>
      </c>
      <c r="AY15" s="33">
        <f t="shared" si="8"/>
        <v>0</v>
      </c>
      <c r="AZ15" s="33">
        <f t="shared" si="9"/>
        <v>0</v>
      </c>
      <c r="BA15" s="33">
        <f t="shared" si="10"/>
        <v>0</v>
      </c>
      <c r="BB15" s="33">
        <f t="shared" si="11"/>
        <v>0</v>
      </c>
      <c r="BC15" s="33">
        <f t="shared" si="12"/>
        <v>0</v>
      </c>
      <c r="BD15" s="33">
        <f t="shared" si="13"/>
        <v>0</v>
      </c>
      <c r="BE15" s="33">
        <f t="shared" si="14"/>
        <v>0</v>
      </c>
      <c r="BF15" s="33">
        <f t="shared" si="15"/>
        <v>0</v>
      </c>
      <c r="BG15" s="33">
        <f t="shared" si="16"/>
        <v>0</v>
      </c>
      <c r="BH15" s="33">
        <f t="shared" si="17"/>
        <v>0</v>
      </c>
      <c r="BI15" s="33">
        <f t="shared" si="18"/>
        <v>0</v>
      </c>
      <c r="BJ15" s="33">
        <f t="shared" si="19"/>
        <v>0</v>
      </c>
    </row>
    <row r="16" spans="1:62" x14ac:dyDescent="0.2">
      <c r="A16" s="2">
        <v>13</v>
      </c>
      <c r="B16" s="2" t="s">
        <v>35</v>
      </c>
      <c r="C16" s="6">
        <v>2316613</v>
      </c>
      <c r="D16" s="6">
        <v>2389265</v>
      </c>
      <c r="E16" s="11">
        <v>2470000</v>
      </c>
      <c r="F16" s="11">
        <v>3515773</v>
      </c>
      <c r="G16" s="11">
        <v>2948979</v>
      </c>
      <c r="H16" s="11">
        <v>5201858</v>
      </c>
      <c r="I16" s="11">
        <v>3058170</v>
      </c>
      <c r="J16" s="11">
        <v>3610508</v>
      </c>
      <c r="K16" s="11">
        <v>1635997</v>
      </c>
      <c r="L16" s="11">
        <v>3224161</v>
      </c>
      <c r="M16" s="11">
        <v>2179899</v>
      </c>
      <c r="N16" s="11">
        <v>3328424</v>
      </c>
      <c r="O16" s="11">
        <v>1542363</v>
      </c>
      <c r="P16" s="11">
        <v>1766269</v>
      </c>
      <c r="Q16" s="11">
        <v>1611696</v>
      </c>
      <c r="R16" s="11">
        <v>2464267</v>
      </c>
      <c r="S16" s="11">
        <v>1263253</v>
      </c>
      <c r="T16" s="11">
        <v>1444940</v>
      </c>
      <c r="U16" s="11">
        <v>1372890</v>
      </c>
      <c r="V16" s="11">
        <v>1015089</v>
      </c>
      <c r="W16" s="6">
        <v>13068</v>
      </c>
      <c r="X16" s="6">
        <v>10694</v>
      </c>
      <c r="Y16" s="6">
        <v>11559</v>
      </c>
      <c r="Z16" s="6">
        <v>8172</v>
      </c>
      <c r="AA16" s="6">
        <v>7135</v>
      </c>
      <c r="AB16" s="6">
        <v>7634</v>
      </c>
      <c r="AC16" s="11">
        <v>2839</v>
      </c>
      <c r="AD16" s="6">
        <v>12586</v>
      </c>
      <c r="AE16" s="6">
        <v>6012</v>
      </c>
      <c r="AF16" s="6">
        <v>6500</v>
      </c>
      <c r="AG16" s="6">
        <v>7316</v>
      </c>
      <c r="AH16" s="6">
        <v>5898</v>
      </c>
      <c r="AI16" s="6">
        <v>6022</v>
      </c>
      <c r="AJ16" s="6">
        <v>6477</v>
      </c>
      <c r="AK16" s="6">
        <v>8306</v>
      </c>
      <c r="AL16" s="6">
        <v>5525</v>
      </c>
      <c r="AM16" s="6">
        <v>5621</v>
      </c>
      <c r="AN16" s="6">
        <v>7601</v>
      </c>
      <c r="AO16" s="6">
        <v>6173</v>
      </c>
      <c r="AP16" s="6">
        <v>5444</v>
      </c>
      <c r="AQ16" s="33">
        <f t="shared" si="20"/>
        <v>0.56409939856160696</v>
      </c>
      <c r="AR16" s="33">
        <f t="shared" si="1"/>
        <v>0.44758534528400995</v>
      </c>
      <c r="AS16" s="33">
        <f t="shared" si="2"/>
        <v>0.4679757085020243</v>
      </c>
      <c r="AT16" s="33">
        <f t="shared" si="3"/>
        <v>0.23243821486768346</v>
      </c>
      <c r="AU16" s="33">
        <f t="shared" si="4"/>
        <v>0.24194814544288037</v>
      </c>
      <c r="AV16" s="33">
        <f t="shared" si="5"/>
        <v>0.14675525552600627</v>
      </c>
      <c r="AW16" s="33">
        <f t="shared" si="6"/>
        <v>9.2833295729145213E-2</v>
      </c>
      <c r="AX16" s="33">
        <f t="shared" si="7"/>
        <v>0.34859360511041659</v>
      </c>
      <c r="AY16" s="33">
        <f t="shared" si="8"/>
        <v>0.36748233645905221</v>
      </c>
      <c r="AZ16" s="33">
        <f t="shared" si="9"/>
        <v>0.20160283559040632</v>
      </c>
      <c r="BA16" s="33">
        <f t="shared" si="10"/>
        <v>0.33561187926596603</v>
      </c>
      <c r="BB16" s="33">
        <f t="shared" si="11"/>
        <v>0.17720098160570888</v>
      </c>
      <c r="BC16" s="33">
        <f t="shared" si="12"/>
        <v>0.39043986402682118</v>
      </c>
      <c r="BD16" s="33">
        <f t="shared" si="13"/>
        <v>0.36670518477083613</v>
      </c>
      <c r="BE16" s="33">
        <f t="shared" si="14"/>
        <v>0.51535773495746096</v>
      </c>
      <c r="BF16" s="33">
        <f t="shared" si="15"/>
        <v>0.22420460120595698</v>
      </c>
      <c r="BG16" s="33">
        <f t="shared" si="16"/>
        <v>0.4449623313778</v>
      </c>
      <c r="BH16" s="33">
        <f t="shared" si="17"/>
        <v>0.52604260384514234</v>
      </c>
      <c r="BI16" s="33">
        <f t="shared" si="18"/>
        <v>0.44963544056697913</v>
      </c>
      <c r="BJ16" s="33">
        <f t="shared" si="19"/>
        <v>0.53630765381163614</v>
      </c>
    </row>
    <row r="17" spans="1:62" x14ac:dyDescent="0.2">
      <c r="A17" s="2">
        <v>14</v>
      </c>
      <c r="B17" s="2" t="s">
        <v>37</v>
      </c>
      <c r="C17" s="6">
        <v>4950355</v>
      </c>
      <c r="D17" s="6">
        <v>5155020</v>
      </c>
      <c r="E17" s="6">
        <v>4861660</v>
      </c>
      <c r="F17" s="11">
        <v>4151398</v>
      </c>
      <c r="G17" s="11">
        <v>4629550</v>
      </c>
      <c r="H17" s="11">
        <v>5521706</v>
      </c>
      <c r="I17" s="11">
        <v>4520650</v>
      </c>
      <c r="J17" s="11">
        <v>3897226</v>
      </c>
      <c r="K17" s="11">
        <v>3740496</v>
      </c>
      <c r="L17" s="11">
        <v>4822733</v>
      </c>
      <c r="M17" s="11">
        <v>4894972</v>
      </c>
      <c r="N17" s="11">
        <v>3740445</v>
      </c>
      <c r="O17" s="11">
        <v>3394935</v>
      </c>
      <c r="P17" s="11">
        <v>4166592</v>
      </c>
      <c r="Q17" s="11">
        <v>4155315</v>
      </c>
      <c r="R17" s="11">
        <v>3203030</v>
      </c>
      <c r="S17" s="11">
        <v>2975430</v>
      </c>
      <c r="T17" s="11">
        <v>2556866</v>
      </c>
      <c r="U17" s="11">
        <v>3606357</v>
      </c>
      <c r="V17" s="11">
        <v>2696412</v>
      </c>
      <c r="W17" s="6">
        <v>26127</v>
      </c>
      <c r="X17" s="6">
        <v>25658</v>
      </c>
      <c r="Y17" s="6">
        <v>25348</v>
      </c>
      <c r="Z17" s="6">
        <v>23207</v>
      </c>
      <c r="AA17" s="6">
        <v>19261</v>
      </c>
      <c r="AB17" s="6">
        <v>19033</v>
      </c>
      <c r="AC17" s="6">
        <v>19301</v>
      </c>
      <c r="AD17" s="6">
        <v>25974</v>
      </c>
      <c r="AE17" s="6">
        <v>6741</v>
      </c>
      <c r="AF17" s="6">
        <v>8404</v>
      </c>
      <c r="AG17" s="6">
        <v>8367</v>
      </c>
      <c r="AH17" s="6">
        <v>19239</v>
      </c>
      <c r="AI17" s="6">
        <v>853</v>
      </c>
      <c r="AJ17" s="6">
        <v>855</v>
      </c>
      <c r="AK17" s="6">
        <v>855</v>
      </c>
      <c r="AL17" s="6">
        <v>5196</v>
      </c>
      <c r="AM17" s="6">
        <v>1691</v>
      </c>
      <c r="AN17" s="6">
        <v>32147</v>
      </c>
      <c r="AO17" s="6">
        <v>1691</v>
      </c>
      <c r="AP17" s="6">
        <v>872</v>
      </c>
      <c r="AQ17" s="33">
        <f t="shared" si="20"/>
        <v>0.52778033090556131</v>
      </c>
      <c r="AR17" s="33">
        <f t="shared" si="1"/>
        <v>0.49772842782375237</v>
      </c>
      <c r="AS17" s="33">
        <f t="shared" si="2"/>
        <v>0.5213856995347268</v>
      </c>
      <c r="AT17" s="33">
        <f t="shared" si="3"/>
        <v>0.55901650480151499</v>
      </c>
      <c r="AU17" s="33">
        <f t="shared" si="4"/>
        <v>0.41604475596980267</v>
      </c>
      <c r="AV17" s="33">
        <f t="shared" si="5"/>
        <v>0.34469419414941682</v>
      </c>
      <c r="AW17" s="33">
        <f t="shared" si="6"/>
        <v>0.42695187638945725</v>
      </c>
      <c r="AX17" s="33">
        <f t="shared" si="7"/>
        <v>0.66647405103014301</v>
      </c>
      <c r="AY17" s="33">
        <f t="shared" si="8"/>
        <v>0.18021674130917398</v>
      </c>
      <c r="AZ17" s="33">
        <f t="shared" si="9"/>
        <v>0.17425803999516457</v>
      </c>
      <c r="BA17" s="33">
        <f t="shared" si="10"/>
        <v>0.17093049766168225</v>
      </c>
      <c r="BB17" s="33">
        <f t="shared" si="11"/>
        <v>0.51435056524023215</v>
      </c>
      <c r="BC17" s="33">
        <f t="shared" si="12"/>
        <v>2.5125665145282604E-2</v>
      </c>
      <c r="BD17" s="33">
        <f t="shared" si="13"/>
        <v>2.0520367724989632E-2</v>
      </c>
      <c r="BE17" s="33">
        <f t="shared" si="14"/>
        <v>2.0576057410810009E-2</v>
      </c>
      <c r="BF17" s="33">
        <f t="shared" si="15"/>
        <v>0.16222139661508012</v>
      </c>
      <c r="BG17" s="33">
        <f t="shared" si="16"/>
        <v>5.6832121743747958E-2</v>
      </c>
      <c r="BH17" s="33">
        <f t="shared" si="17"/>
        <v>1.257281374933219</v>
      </c>
      <c r="BI17" s="33">
        <f t="shared" si="18"/>
        <v>4.6889423315550842E-2</v>
      </c>
      <c r="BJ17" s="33">
        <f t="shared" si="19"/>
        <v>3.233927159499364E-2</v>
      </c>
    </row>
    <row r="18" spans="1:62" x14ac:dyDescent="0.2">
      <c r="A18" s="2">
        <v>15</v>
      </c>
      <c r="B18" s="2" t="s">
        <v>39</v>
      </c>
      <c r="C18" s="6">
        <v>152478</v>
      </c>
      <c r="D18" s="6">
        <v>182180</v>
      </c>
      <c r="E18" s="6">
        <v>157536</v>
      </c>
      <c r="F18" s="11">
        <v>124248</v>
      </c>
      <c r="G18" s="11">
        <v>125427</v>
      </c>
      <c r="H18" s="11">
        <v>129869</v>
      </c>
      <c r="I18" s="11">
        <v>139681</v>
      </c>
      <c r="J18" s="11">
        <v>165577</v>
      </c>
      <c r="K18" s="11">
        <v>46995</v>
      </c>
      <c r="L18" s="11">
        <v>58306</v>
      </c>
      <c r="M18" s="11">
        <v>127683</v>
      </c>
      <c r="N18" s="11">
        <v>146616</v>
      </c>
      <c r="O18" s="11">
        <v>76986</v>
      </c>
      <c r="P18" s="11">
        <v>90276</v>
      </c>
      <c r="Q18" s="11">
        <v>77559</v>
      </c>
      <c r="R18" s="11">
        <v>78200</v>
      </c>
      <c r="S18" s="11">
        <v>86983</v>
      </c>
      <c r="T18" s="11">
        <v>128285</v>
      </c>
      <c r="U18" s="11">
        <v>106386</v>
      </c>
      <c r="V18" s="11">
        <v>92706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33">
        <f t="shared" si="20"/>
        <v>0</v>
      </c>
      <c r="AR18" s="33">
        <f t="shared" si="1"/>
        <v>0</v>
      </c>
      <c r="AS18" s="33">
        <f t="shared" si="2"/>
        <v>0</v>
      </c>
      <c r="AT18" s="33">
        <f t="shared" si="3"/>
        <v>0</v>
      </c>
      <c r="AU18" s="33">
        <f t="shared" si="4"/>
        <v>0</v>
      </c>
      <c r="AV18" s="33">
        <f t="shared" si="5"/>
        <v>0</v>
      </c>
      <c r="AW18" s="33">
        <f t="shared" si="6"/>
        <v>0</v>
      </c>
      <c r="AX18" s="33">
        <f t="shared" si="7"/>
        <v>0</v>
      </c>
      <c r="AY18" s="33">
        <f t="shared" si="8"/>
        <v>0</v>
      </c>
      <c r="AZ18" s="33">
        <f t="shared" si="9"/>
        <v>0</v>
      </c>
      <c r="BA18" s="33">
        <f t="shared" si="10"/>
        <v>0</v>
      </c>
      <c r="BB18" s="33">
        <f t="shared" si="11"/>
        <v>0</v>
      </c>
      <c r="BC18" s="33">
        <f t="shared" si="12"/>
        <v>0</v>
      </c>
      <c r="BD18" s="33">
        <f t="shared" si="13"/>
        <v>0</v>
      </c>
      <c r="BE18" s="33">
        <f t="shared" si="14"/>
        <v>0</v>
      </c>
      <c r="BF18" s="33">
        <f t="shared" si="15"/>
        <v>0</v>
      </c>
      <c r="BG18" s="33">
        <f t="shared" si="16"/>
        <v>0</v>
      </c>
      <c r="BH18" s="33">
        <f t="shared" si="17"/>
        <v>0</v>
      </c>
      <c r="BI18" s="33">
        <f t="shared" si="18"/>
        <v>0</v>
      </c>
      <c r="BJ18" s="33">
        <f t="shared" si="19"/>
        <v>0</v>
      </c>
    </row>
    <row r="19" spans="1:62" x14ac:dyDescent="0.2">
      <c r="A19" s="2">
        <v>16</v>
      </c>
      <c r="B19" s="2" t="s">
        <v>41</v>
      </c>
      <c r="C19" s="6">
        <v>5893635</v>
      </c>
      <c r="D19" s="6">
        <v>6187608</v>
      </c>
      <c r="E19" s="11">
        <v>5893719</v>
      </c>
      <c r="F19" s="11">
        <v>5470259</v>
      </c>
      <c r="G19" s="11">
        <v>5334173</v>
      </c>
      <c r="H19" s="11">
        <v>6015987</v>
      </c>
      <c r="I19" s="11">
        <v>5579395</v>
      </c>
      <c r="J19" s="11">
        <v>5091683</v>
      </c>
      <c r="K19" s="6">
        <v>4674883</v>
      </c>
      <c r="L19" s="11">
        <v>5904358</v>
      </c>
      <c r="M19" s="11">
        <v>6350733</v>
      </c>
      <c r="N19" s="11">
        <v>4678186</v>
      </c>
      <c r="O19" s="11">
        <v>4067767</v>
      </c>
      <c r="P19" s="11">
        <v>5157797</v>
      </c>
      <c r="Q19" s="11">
        <v>5012345</v>
      </c>
      <c r="R19" s="11">
        <v>4292902</v>
      </c>
      <c r="S19" s="11">
        <v>4296339</v>
      </c>
      <c r="T19" s="11">
        <v>4921554</v>
      </c>
      <c r="U19" s="11">
        <v>4030521</v>
      </c>
      <c r="V19" s="11">
        <v>3570320</v>
      </c>
      <c r="W19" s="6">
        <v>52036</v>
      </c>
      <c r="X19" s="6">
        <v>51587</v>
      </c>
      <c r="Y19" s="6">
        <v>48708</v>
      </c>
      <c r="Z19" s="6">
        <v>68288</v>
      </c>
      <c r="AA19" s="6">
        <v>56736</v>
      </c>
      <c r="AB19" s="6">
        <v>54036</v>
      </c>
      <c r="AC19" s="6">
        <v>52238</v>
      </c>
      <c r="AD19" s="6">
        <v>51950</v>
      </c>
      <c r="AE19" s="6">
        <v>31510</v>
      </c>
      <c r="AF19" s="6">
        <v>39851</v>
      </c>
      <c r="AG19" s="6">
        <v>42508</v>
      </c>
      <c r="AH19" s="6">
        <v>61340</v>
      </c>
      <c r="AI19" s="6">
        <v>29992</v>
      </c>
      <c r="AJ19" s="6">
        <v>30286</v>
      </c>
      <c r="AK19" s="6">
        <v>30919</v>
      </c>
      <c r="AL19" s="6">
        <v>37088</v>
      </c>
      <c r="AM19" s="6">
        <v>70043</v>
      </c>
      <c r="AN19" s="6">
        <v>39782</v>
      </c>
      <c r="AO19" s="6">
        <v>36597</v>
      </c>
      <c r="AP19" s="6">
        <v>29681</v>
      </c>
      <c r="AQ19" s="33">
        <f t="shared" si="20"/>
        <v>0.88291860625912522</v>
      </c>
      <c r="AR19" s="33">
        <f t="shared" si="1"/>
        <v>0.83371474081745323</v>
      </c>
      <c r="AS19" s="33">
        <f t="shared" si="2"/>
        <v>0.82643912952076615</v>
      </c>
      <c r="AT19" s="33">
        <f t="shared" si="3"/>
        <v>1.2483503980341699</v>
      </c>
      <c r="AU19" s="33">
        <f t="shared" si="4"/>
        <v>1.0636325443512986</v>
      </c>
      <c r="AV19" s="33">
        <f t="shared" si="5"/>
        <v>0.89820672817278358</v>
      </c>
      <c r="AW19" s="33">
        <f t="shared" si="6"/>
        <v>0.93626638730543377</v>
      </c>
      <c r="AX19" s="33">
        <f t="shared" si="7"/>
        <v>1.0202913260703779</v>
      </c>
      <c r="AY19" s="33">
        <f t="shared" si="8"/>
        <v>0.67402756389839058</v>
      </c>
      <c r="AZ19" s="33">
        <f t="shared" si="9"/>
        <v>0.67494213596126795</v>
      </c>
      <c r="BA19" s="33">
        <f t="shared" si="10"/>
        <v>0.66934005885619818</v>
      </c>
      <c r="BB19" s="33">
        <f t="shared" si="11"/>
        <v>1.3111919876635945</v>
      </c>
      <c r="BC19" s="33">
        <f t="shared" si="12"/>
        <v>0.73730870032624773</v>
      </c>
      <c r="BD19" s="33">
        <f t="shared" si="13"/>
        <v>0.58718867764667748</v>
      </c>
      <c r="BE19" s="33">
        <f t="shared" si="14"/>
        <v>0.61685698011609336</v>
      </c>
      <c r="BF19" s="33">
        <f t="shared" si="15"/>
        <v>0.86393772790527257</v>
      </c>
      <c r="BG19" s="33">
        <f t="shared" si="16"/>
        <v>1.6302950023263991</v>
      </c>
      <c r="BH19" s="33">
        <f t="shared" si="17"/>
        <v>0.80832192433528105</v>
      </c>
      <c r="BI19" s="33">
        <f t="shared" si="18"/>
        <v>0.90799675773926003</v>
      </c>
      <c r="BJ19" s="33">
        <f t="shared" si="19"/>
        <v>0.83132604360393469</v>
      </c>
    </row>
    <row r="20" spans="1:62" x14ac:dyDescent="0.2">
      <c r="A20" s="2">
        <v>17</v>
      </c>
      <c r="B20" s="2" t="s">
        <v>43</v>
      </c>
      <c r="C20" s="6">
        <f>949741+W20</f>
        <v>953313</v>
      </c>
      <c r="D20" s="6">
        <f>1015631+X20</f>
        <v>1019203</v>
      </c>
      <c r="E20" s="11">
        <f>1155463+Y20</f>
        <v>1159035</v>
      </c>
      <c r="F20" s="11">
        <v>1096697</v>
      </c>
      <c r="G20" s="11">
        <f>693325+AA20</f>
        <v>695671</v>
      </c>
      <c r="H20" s="11">
        <f>733187+AB20</f>
        <v>735533</v>
      </c>
      <c r="I20" s="11">
        <f>807650+AC20</f>
        <v>811106</v>
      </c>
      <c r="J20" s="11">
        <f>869169+AD20</f>
        <v>872741</v>
      </c>
      <c r="K20" s="11">
        <f>576864+AE20</f>
        <v>579210</v>
      </c>
      <c r="L20" s="11">
        <f>594884+AF20</f>
        <v>597230</v>
      </c>
      <c r="M20" s="11">
        <f>567857+AG20</f>
        <v>570203</v>
      </c>
      <c r="N20" s="11">
        <f>680466+AH20</f>
        <v>682812</v>
      </c>
      <c r="O20" s="11">
        <f>221919+AI20</f>
        <v>224265</v>
      </c>
      <c r="P20" s="11">
        <f>226422+AJ20</f>
        <v>228768</v>
      </c>
      <c r="Q20" s="11">
        <f>255472+AK20</f>
        <v>257818</v>
      </c>
      <c r="R20" s="11">
        <f>203867+AL20</f>
        <v>206213</v>
      </c>
      <c r="S20" s="11">
        <f>193189+AM20</f>
        <v>195535</v>
      </c>
      <c r="T20" s="11">
        <f>226422+AN20</f>
        <v>228768</v>
      </c>
      <c r="U20" s="11">
        <f>255472+AO20</f>
        <v>257818</v>
      </c>
      <c r="V20" s="11">
        <f>203867+AP20</f>
        <v>206213</v>
      </c>
      <c r="W20" s="6">
        <v>3572</v>
      </c>
      <c r="X20" s="6">
        <v>3572</v>
      </c>
      <c r="Y20" s="6">
        <v>3572</v>
      </c>
      <c r="Z20" s="6">
        <v>3572</v>
      </c>
      <c r="AA20" s="6">
        <v>2346</v>
      </c>
      <c r="AB20" s="6">
        <v>2346</v>
      </c>
      <c r="AC20" s="6">
        <v>3456</v>
      </c>
      <c r="AD20" s="6">
        <v>3572</v>
      </c>
      <c r="AE20" s="6">
        <v>2346</v>
      </c>
      <c r="AF20" s="6">
        <v>2346</v>
      </c>
      <c r="AG20" s="6">
        <v>2346</v>
      </c>
      <c r="AH20" s="6">
        <v>2346</v>
      </c>
      <c r="AI20" s="6">
        <v>2346</v>
      </c>
      <c r="AJ20" s="6">
        <v>2346</v>
      </c>
      <c r="AK20" s="6">
        <v>2346</v>
      </c>
      <c r="AL20" s="6">
        <v>2346</v>
      </c>
      <c r="AM20" s="6">
        <v>2346</v>
      </c>
      <c r="AN20" s="6">
        <v>2346</v>
      </c>
      <c r="AO20" s="6">
        <v>2346</v>
      </c>
      <c r="AP20" s="6">
        <v>2346</v>
      </c>
      <c r="AQ20" s="33">
        <f t="shared" si="20"/>
        <v>0.37469330639569587</v>
      </c>
      <c r="AR20" s="33">
        <f t="shared" si="1"/>
        <v>0.35046992601081434</v>
      </c>
      <c r="AS20" s="33">
        <f t="shared" si="2"/>
        <v>0.30818741453019105</v>
      </c>
      <c r="AT20" s="33">
        <f t="shared" si="3"/>
        <v>0.32570527684492617</v>
      </c>
      <c r="AU20" s="33">
        <f t="shared" si="4"/>
        <v>0.33722837375713521</v>
      </c>
      <c r="AV20" s="33">
        <f t="shared" si="5"/>
        <v>0.31895237875119131</v>
      </c>
      <c r="AW20" s="33">
        <f t="shared" si="6"/>
        <v>0.42608487669922301</v>
      </c>
      <c r="AX20" s="33">
        <f t="shared" si="7"/>
        <v>0.40928522895108632</v>
      </c>
      <c r="AY20" s="33">
        <f t="shared" si="8"/>
        <v>0.40503444346610035</v>
      </c>
      <c r="AZ20" s="33">
        <f t="shared" si="9"/>
        <v>0.39281348894060913</v>
      </c>
      <c r="BA20" s="33">
        <f t="shared" si="10"/>
        <v>0.41143241968211325</v>
      </c>
      <c r="BB20" s="33">
        <f t="shared" si="11"/>
        <v>0.34357919895959649</v>
      </c>
      <c r="BC20" s="33">
        <f t="shared" si="12"/>
        <v>1.046083873988362</v>
      </c>
      <c r="BD20" s="33">
        <f t="shared" si="13"/>
        <v>1.025493075954679</v>
      </c>
      <c r="BE20" s="33">
        <f t="shared" si="14"/>
        <v>0.90994422422018639</v>
      </c>
      <c r="BF20" s="33">
        <f t="shared" si="15"/>
        <v>1.1376586345186772</v>
      </c>
      <c r="BG20" s="33">
        <f t="shared" si="16"/>
        <v>1.1997852046948116</v>
      </c>
      <c r="BH20" s="33">
        <f t="shared" si="17"/>
        <v>1.025493075954679</v>
      </c>
      <c r="BI20" s="33">
        <f t="shared" si="18"/>
        <v>0.90994422422018639</v>
      </c>
      <c r="BJ20" s="33">
        <f t="shared" si="19"/>
        <v>1.1376586345186772</v>
      </c>
    </row>
    <row r="21" spans="1:62" x14ac:dyDescent="0.2">
      <c r="A21" s="2">
        <v>18</v>
      </c>
      <c r="B21" s="2" t="s">
        <v>45</v>
      </c>
      <c r="C21" s="6">
        <v>2803401</v>
      </c>
      <c r="D21" s="6">
        <v>2670180</v>
      </c>
      <c r="E21" s="11">
        <v>3293187</v>
      </c>
      <c r="F21" s="11">
        <v>3120186</v>
      </c>
      <c r="G21" s="11">
        <v>2541206</v>
      </c>
      <c r="H21" s="11">
        <v>2555968</v>
      </c>
      <c r="I21" s="11">
        <v>2898394</v>
      </c>
      <c r="J21" s="11">
        <v>2628551</v>
      </c>
      <c r="K21" s="11">
        <v>2614209</v>
      </c>
      <c r="L21" s="11">
        <v>2477666</v>
      </c>
      <c r="M21" s="11">
        <v>2785340</v>
      </c>
      <c r="N21" s="11">
        <v>2691439</v>
      </c>
      <c r="O21" s="11">
        <v>2366905</v>
      </c>
      <c r="P21" s="11">
        <v>2446142</v>
      </c>
      <c r="Q21" s="11">
        <v>2803228</v>
      </c>
      <c r="R21" s="11">
        <v>2588481</v>
      </c>
      <c r="S21" s="11">
        <v>2571106</v>
      </c>
      <c r="T21" s="11">
        <v>2419034</v>
      </c>
      <c r="U21" s="11">
        <v>2758920</v>
      </c>
      <c r="V21" s="11">
        <v>2710295</v>
      </c>
      <c r="W21" s="6">
        <v>146751</v>
      </c>
      <c r="X21" s="6">
        <v>148577</v>
      </c>
      <c r="Y21" s="6">
        <v>150337</v>
      </c>
      <c r="Z21" s="6">
        <v>154409</v>
      </c>
      <c r="AA21" s="6">
        <v>91961</v>
      </c>
      <c r="AB21" s="6">
        <v>95986</v>
      </c>
      <c r="AC21" s="6">
        <v>106806</v>
      </c>
      <c r="AD21" s="6">
        <v>143751</v>
      </c>
      <c r="AE21" s="6">
        <v>54791</v>
      </c>
      <c r="AF21" s="6">
        <v>44791</v>
      </c>
      <c r="AG21" s="6">
        <v>59521</v>
      </c>
      <c r="AH21" s="6">
        <v>86116</v>
      </c>
      <c r="AI21" s="6">
        <v>40490</v>
      </c>
      <c r="AJ21" s="6">
        <v>41820</v>
      </c>
      <c r="AK21" s="6">
        <v>44518</v>
      </c>
      <c r="AL21" s="6">
        <v>54791</v>
      </c>
      <c r="AM21" s="6">
        <v>34000</v>
      </c>
      <c r="AN21" s="6">
        <v>34000</v>
      </c>
      <c r="AO21" s="6">
        <v>34000</v>
      </c>
      <c r="AP21" s="6">
        <v>39302</v>
      </c>
      <c r="AQ21" s="33">
        <f t="shared" si="20"/>
        <v>5.2347487926272409</v>
      </c>
      <c r="AR21" s="33">
        <f t="shared" si="1"/>
        <v>5.5643065261517952</v>
      </c>
      <c r="AS21" s="33">
        <f t="shared" si="2"/>
        <v>4.565091505584105</v>
      </c>
      <c r="AT21" s="33">
        <f t="shared" si="3"/>
        <v>4.9487113909234894</v>
      </c>
      <c r="AU21" s="33">
        <f t="shared" si="4"/>
        <v>3.6187935964262641</v>
      </c>
      <c r="AV21" s="33">
        <f t="shared" si="5"/>
        <v>3.7553678293311963</v>
      </c>
      <c r="AW21" s="33">
        <f t="shared" si="6"/>
        <v>3.685006248287845</v>
      </c>
      <c r="AX21" s="33">
        <f t="shared" si="7"/>
        <v>5.4688305458026116</v>
      </c>
      <c r="AY21" s="33">
        <f t="shared" si="8"/>
        <v>2.0958921035005234</v>
      </c>
      <c r="AZ21" s="33">
        <f t="shared" si="9"/>
        <v>1.8077900733997239</v>
      </c>
      <c r="BA21" s="33">
        <f t="shared" si="10"/>
        <v>2.136938398902827</v>
      </c>
      <c r="BB21" s="33">
        <f t="shared" si="11"/>
        <v>3.1996266681132286</v>
      </c>
      <c r="BC21" s="33">
        <f t="shared" si="12"/>
        <v>1.7106727984435368</v>
      </c>
      <c r="BD21" s="33">
        <f t="shared" si="13"/>
        <v>1.7096309208541449</v>
      </c>
      <c r="BE21" s="33">
        <f t="shared" si="14"/>
        <v>1.5880977216266392</v>
      </c>
      <c r="BF21" s="33">
        <f t="shared" si="15"/>
        <v>2.1167240555368187</v>
      </c>
      <c r="BG21" s="33">
        <f t="shared" si="16"/>
        <v>1.3223881084638285</v>
      </c>
      <c r="BH21" s="33">
        <f t="shared" si="17"/>
        <v>1.4055197239889972</v>
      </c>
      <c r="BI21" s="33">
        <f t="shared" si="18"/>
        <v>1.232366288257724</v>
      </c>
      <c r="BJ21" s="33">
        <f t="shared" si="19"/>
        <v>1.4501004503199835</v>
      </c>
    </row>
    <row r="22" spans="1:62" x14ac:dyDescent="0.2">
      <c r="A22" s="2">
        <v>19</v>
      </c>
      <c r="B22" s="2" t="s">
        <v>47</v>
      </c>
      <c r="C22" s="6">
        <f>143868+W22</f>
        <v>145361</v>
      </c>
      <c r="D22" s="6">
        <f>207492+X22</f>
        <v>208985</v>
      </c>
      <c r="E22" s="11">
        <f>351356+Y22</f>
        <v>352849</v>
      </c>
      <c r="F22" s="11">
        <v>218905</v>
      </c>
      <c r="G22" s="11">
        <f>136228+AA22</f>
        <v>137721</v>
      </c>
      <c r="H22" s="11">
        <f>122066+AB22</f>
        <v>123559</v>
      </c>
      <c r="I22" s="11">
        <f>151176+AC22</f>
        <v>152669</v>
      </c>
      <c r="J22" s="11">
        <f>176350+AD22</f>
        <v>177843</v>
      </c>
      <c r="K22" s="11">
        <f>93003+AE22</f>
        <v>94496</v>
      </c>
      <c r="L22" s="11">
        <f>82601+AF22</f>
        <v>84094</v>
      </c>
      <c r="M22" s="11">
        <f>114661+AG22</f>
        <v>116154</v>
      </c>
      <c r="N22" s="11">
        <f>125231+AH22</f>
        <v>126724</v>
      </c>
      <c r="O22" s="11">
        <f>119570+AI22</f>
        <v>120317</v>
      </c>
      <c r="P22" s="11">
        <f>130853+AJ22</f>
        <v>131600</v>
      </c>
      <c r="Q22" s="11">
        <f>128047+AK22</f>
        <v>129167</v>
      </c>
      <c r="R22" s="11">
        <f>111885+AL22</f>
        <v>113378</v>
      </c>
      <c r="S22" s="11">
        <v>149032</v>
      </c>
      <c r="T22" s="11">
        <f>131702+AN22</f>
        <v>132448</v>
      </c>
      <c r="U22" s="11">
        <f>160162+AO22</f>
        <v>160909</v>
      </c>
      <c r="V22" s="11">
        <f>170344+AP22</f>
        <v>171091</v>
      </c>
      <c r="W22" s="6">
        <v>1493</v>
      </c>
      <c r="X22" s="6">
        <v>1493</v>
      </c>
      <c r="Y22" s="6">
        <v>1493</v>
      </c>
      <c r="Z22" s="6">
        <v>1493</v>
      </c>
      <c r="AA22" s="6">
        <v>1493</v>
      </c>
      <c r="AB22" s="6">
        <v>1493</v>
      </c>
      <c r="AC22" s="6">
        <v>1493</v>
      </c>
      <c r="AD22" s="6">
        <v>1493</v>
      </c>
      <c r="AE22" s="6">
        <v>1493</v>
      </c>
      <c r="AF22" s="6">
        <v>1493</v>
      </c>
      <c r="AG22" s="6">
        <v>1493</v>
      </c>
      <c r="AH22" s="6">
        <v>1493</v>
      </c>
      <c r="AI22" s="6">
        <v>747</v>
      </c>
      <c r="AJ22" s="6">
        <v>747</v>
      </c>
      <c r="AK22" s="6">
        <v>1120</v>
      </c>
      <c r="AL22" s="6">
        <v>1493</v>
      </c>
      <c r="AM22" s="6">
        <v>746</v>
      </c>
      <c r="AN22" s="6">
        <v>746</v>
      </c>
      <c r="AO22" s="6">
        <v>747</v>
      </c>
      <c r="AP22" s="6">
        <v>747</v>
      </c>
      <c r="AQ22" s="33">
        <f t="shared" si="20"/>
        <v>1.0270980524349722</v>
      </c>
      <c r="AR22" s="33">
        <f t="shared" si="1"/>
        <v>0.71440534009617918</v>
      </c>
      <c r="AS22" s="33">
        <f t="shared" si="2"/>
        <v>0.42312717338011441</v>
      </c>
      <c r="AT22" s="33">
        <f t="shared" si="3"/>
        <v>0.68203101802151622</v>
      </c>
      <c r="AU22" s="33">
        <f t="shared" si="4"/>
        <v>1.0840757763884956</v>
      </c>
      <c r="AV22" s="33">
        <f t="shared" si="5"/>
        <v>1.2083296239043695</v>
      </c>
      <c r="AW22" s="33">
        <f t="shared" si="6"/>
        <v>0.97793265168436283</v>
      </c>
      <c r="AX22" s="33">
        <f t="shared" si="7"/>
        <v>0.83950450678407362</v>
      </c>
      <c r="AY22" s="33">
        <f t="shared" si="8"/>
        <v>1.5799610565526583</v>
      </c>
      <c r="AZ22" s="33">
        <f t="shared" si="9"/>
        <v>1.7753942017266391</v>
      </c>
      <c r="BA22" s="33">
        <f t="shared" si="10"/>
        <v>1.2853625359436609</v>
      </c>
      <c r="BB22" s="33">
        <f t="shared" si="11"/>
        <v>1.1781509422051073</v>
      </c>
      <c r="BC22" s="33">
        <f t="shared" si="12"/>
        <v>0.62085989511041673</v>
      </c>
      <c r="BD22" s="33">
        <f t="shared" si="13"/>
        <v>0.56762917933130697</v>
      </c>
      <c r="BE22" s="33">
        <f t="shared" si="14"/>
        <v>0.86709453653022828</v>
      </c>
      <c r="BF22" s="33">
        <f t="shared" si="15"/>
        <v>1.3168339536770803</v>
      </c>
      <c r="BG22" s="33">
        <f t="shared" si="16"/>
        <v>0.50056363733963172</v>
      </c>
      <c r="BH22" s="33">
        <f t="shared" si="17"/>
        <v>0.56323991302246923</v>
      </c>
      <c r="BI22" s="33">
        <f t="shared" si="18"/>
        <v>0.46423755041669518</v>
      </c>
      <c r="BJ22" s="33">
        <f t="shared" si="19"/>
        <v>0.43660975738057523</v>
      </c>
    </row>
    <row r="23" spans="1:62" x14ac:dyDescent="0.2">
      <c r="A23" s="2">
        <v>20</v>
      </c>
      <c r="B23" s="2" t="s">
        <v>51</v>
      </c>
      <c r="C23" s="6">
        <v>9591452652</v>
      </c>
      <c r="D23" s="6">
        <v>8276929200</v>
      </c>
      <c r="E23" s="11">
        <v>10829931564</v>
      </c>
      <c r="F23" s="11">
        <v>5567319</v>
      </c>
      <c r="G23" s="11">
        <f>173742658+11267401445</f>
        <v>11441144103</v>
      </c>
      <c r="H23" s="11">
        <f>182016118+11956967376</f>
        <v>12138983494</v>
      </c>
      <c r="I23" s="11">
        <f>10165658338+374300304</f>
        <v>10539958642</v>
      </c>
      <c r="J23" s="11">
        <v>11560857536</v>
      </c>
      <c r="K23" s="11">
        <v>162899260</v>
      </c>
      <c r="L23" s="11">
        <v>811487807</v>
      </c>
      <c r="M23" s="11">
        <v>2614767963</v>
      </c>
      <c r="N23" s="11">
        <f>165469198+8278793580</f>
        <v>8444262778</v>
      </c>
      <c r="O23" s="11">
        <v>106414403</v>
      </c>
      <c r="P23" s="11">
        <v>110609350</v>
      </c>
      <c r="Q23" s="11">
        <v>103523787</v>
      </c>
      <c r="R23" s="11">
        <v>164374388</v>
      </c>
      <c r="S23" s="11">
        <v>36050509</v>
      </c>
      <c r="T23" s="11">
        <v>4486214</v>
      </c>
      <c r="U23" s="11">
        <v>245458705</v>
      </c>
      <c r="V23" s="11">
        <v>59667738</v>
      </c>
      <c r="W23" s="6">
        <v>13024372</v>
      </c>
      <c r="X23" s="6">
        <v>13024372</v>
      </c>
      <c r="Y23" s="6">
        <v>56765513</v>
      </c>
      <c r="Z23" s="6">
        <v>17036</v>
      </c>
      <c r="AA23" s="6">
        <v>55156399</v>
      </c>
      <c r="AB23" s="6">
        <v>55156399</v>
      </c>
      <c r="AC23" s="6">
        <v>96545461</v>
      </c>
      <c r="AD23" s="6">
        <v>13493371</v>
      </c>
      <c r="AE23" s="6">
        <v>59813</v>
      </c>
      <c r="AF23" s="6">
        <v>59813</v>
      </c>
      <c r="AG23" s="6">
        <v>59813</v>
      </c>
      <c r="AH23" s="6">
        <v>55156399</v>
      </c>
      <c r="AI23" s="6">
        <v>19523231</v>
      </c>
      <c r="AJ23" s="6">
        <v>19523231</v>
      </c>
      <c r="AK23" s="6">
        <v>19523229</v>
      </c>
      <c r="AL23" s="6">
        <v>0</v>
      </c>
      <c r="AM23" s="6">
        <v>16299843</v>
      </c>
      <c r="AN23" s="6">
        <v>7257063</v>
      </c>
      <c r="AO23" s="6">
        <v>7257063</v>
      </c>
      <c r="AP23" s="6">
        <v>10120639</v>
      </c>
      <c r="AQ23" s="33">
        <f t="shared" si="20"/>
        <v>0.13579144340856616</v>
      </c>
      <c r="AR23" s="33">
        <f t="shared" si="1"/>
        <v>0.15735753786561324</v>
      </c>
      <c r="AS23" s="33">
        <f t="shared" si="2"/>
        <v>0.52415394007378047</v>
      </c>
      <c r="AT23" s="33">
        <f t="shared" si="3"/>
        <v>0.30600006933319251</v>
      </c>
      <c r="AU23" s="33">
        <f t="shared" si="4"/>
        <v>0.482088141740452</v>
      </c>
      <c r="AV23" s="33">
        <f t="shared" si="5"/>
        <v>0.4543741164757531</v>
      </c>
      <c r="AW23" s="33">
        <f t="shared" si="6"/>
        <v>0.91599468536130901</v>
      </c>
      <c r="AX23" s="33">
        <f t="shared" si="7"/>
        <v>0.11671600448307781</v>
      </c>
      <c r="AY23" s="33">
        <f t="shared" si="8"/>
        <v>3.6717784967224526E-2</v>
      </c>
      <c r="AZ23" s="33">
        <f t="shared" si="9"/>
        <v>7.3707823437450613E-3</v>
      </c>
      <c r="BA23" s="33">
        <f t="shared" si="10"/>
        <v>2.2875069928336889E-3</v>
      </c>
      <c r="BB23" s="33">
        <f t="shared" si="11"/>
        <v>0.65318193488364695</v>
      </c>
      <c r="BC23" s="33">
        <f t="shared" si="12"/>
        <v>18.346417824662325</v>
      </c>
      <c r="BD23" s="33">
        <f t="shared" si="13"/>
        <v>17.650615431697229</v>
      </c>
      <c r="BE23" s="33">
        <f t="shared" si="14"/>
        <v>18.858688969714756</v>
      </c>
      <c r="BF23" s="33">
        <f t="shared" si="15"/>
        <v>0</v>
      </c>
      <c r="BG23" s="33">
        <f t="shared" si="16"/>
        <v>45.213905301586728</v>
      </c>
      <c r="BH23" s="33">
        <f t="shared" si="17"/>
        <v>161.76363856026487</v>
      </c>
      <c r="BI23" s="33">
        <f t="shared" si="18"/>
        <v>2.9565311199698541</v>
      </c>
      <c r="BJ23" s="33">
        <f t="shared" si="19"/>
        <v>16.961660252647754</v>
      </c>
    </row>
    <row r="24" spans="1:62" x14ac:dyDescent="0.2">
      <c r="A24" s="2">
        <v>21</v>
      </c>
      <c r="B24" s="2" t="s">
        <v>53</v>
      </c>
      <c r="C24" s="6">
        <f>2896688+W24</f>
        <v>2918813</v>
      </c>
      <c r="D24" s="6">
        <f>3497701+X24</f>
        <v>3520344</v>
      </c>
      <c r="E24" s="11">
        <f>3497701+Y24</f>
        <v>3520344</v>
      </c>
      <c r="F24" s="11">
        <f>3281250990683/1000000</f>
        <v>3281250.9906830001</v>
      </c>
      <c r="G24" s="11">
        <v>2918720</v>
      </c>
      <c r="H24" s="11">
        <v>3054725</v>
      </c>
      <c r="I24" s="11">
        <v>3198476</v>
      </c>
      <c r="J24" s="11">
        <v>2876417</v>
      </c>
      <c r="K24" s="11">
        <v>2509253</v>
      </c>
      <c r="L24" s="11">
        <v>2574650</v>
      </c>
      <c r="M24" s="11">
        <v>2648449</v>
      </c>
      <c r="N24" s="11">
        <v>2631206</v>
      </c>
      <c r="O24" s="11">
        <v>2410519</v>
      </c>
      <c r="P24" s="11">
        <v>2568523</v>
      </c>
      <c r="Q24" s="11">
        <v>2652116</v>
      </c>
      <c r="R24" s="11">
        <v>2354779</v>
      </c>
      <c r="S24" s="11">
        <v>1782915</v>
      </c>
      <c r="T24" s="11">
        <v>1791757</v>
      </c>
      <c r="U24" s="11">
        <v>2311726</v>
      </c>
      <c r="V24" s="11">
        <v>1973291</v>
      </c>
      <c r="W24" s="6">
        <v>22125</v>
      </c>
      <c r="X24" s="6">
        <v>22643</v>
      </c>
      <c r="Y24" s="6">
        <v>22643</v>
      </c>
      <c r="Z24" s="6">
        <f>25706130895/1000000</f>
        <v>25706.130894999998</v>
      </c>
      <c r="AA24" s="6">
        <v>14751</v>
      </c>
      <c r="AB24" s="6">
        <v>14693</v>
      </c>
      <c r="AC24" s="6">
        <v>14836</v>
      </c>
      <c r="AD24" s="6">
        <v>21976</v>
      </c>
      <c r="AE24" s="6">
        <v>11486</v>
      </c>
      <c r="AF24" s="6">
        <v>11570</v>
      </c>
      <c r="AG24" s="6">
        <v>11525</v>
      </c>
      <c r="AH24" s="6">
        <v>15009</v>
      </c>
      <c r="AI24" s="6">
        <v>14002</v>
      </c>
      <c r="AJ24" s="6">
        <v>12785</v>
      </c>
      <c r="AK24" s="6">
        <v>13380</v>
      </c>
      <c r="AL24" s="6">
        <v>11715</v>
      </c>
      <c r="AM24" s="6">
        <v>8842</v>
      </c>
      <c r="AN24" s="6">
        <v>8842</v>
      </c>
      <c r="AO24" s="6">
        <v>10497</v>
      </c>
      <c r="AP24" s="6">
        <v>9312</v>
      </c>
      <c r="AQ24" s="33">
        <f t="shared" si="20"/>
        <v>0.75801361717931226</v>
      </c>
      <c r="AR24" s="33">
        <f t="shared" si="1"/>
        <v>0.64320418686355652</v>
      </c>
      <c r="AS24" s="33">
        <f t="shared" si="2"/>
        <v>0.64320418686355652</v>
      </c>
      <c r="AT24" s="33">
        <f t="shared" si="3"/>
        <v>0.78342470502840766</v>
      </c>
      <c r="AU24" s="33">
        <f t="shared" si="4"/>
        <v>0.50539277491503132</v>
      </c>
      <c r="AV24" s="33">
        <f t="shared" si="5"/>
        <v>0.48099256070513713</v>
      </c>
      <c r="AW24" s="33">
        <f t="shared" si="6"/>
        <v>0.46384590661302449</v>
      </c>
      <c r="AX24" s="33">
        <f t="shared" si="7"/>
        <v>0.76400605336430705</v>
      </c>
      <c r="AY24" s="33">
        <f t="shared" si="8"/>
        <v>0.45774579127732434</v>
      </c>
      <c r="AZ24" s="33">
        <f t="shared" si="9"/>
        <v>0.44938146932592776</v>
      </c>
      <c r="BA24" s="33">
        <f t="shared" si="10"/>
        <v>0.43516035234206885</v>
      </c>
      <c r="BB24" s="33">
        <f t="shared" si="11"/>
        <v>0.57042284032493085</v>
      </c>
      <c r="BC24" s="33">
        <f t="shared" si="12"/>
        <v>0.58087075853789161</v>
      </c>
      <c r="BD24" s="33">
        <f t="shared" si="13"/>
        <v>0.49775688206802121</v>
      </c>
      <c r="BE24" s="33">
        <f t="shared" si="14"/>
        <v>0.50450281963534027</v>
      </c>
      <c r="BF24" s="33">
        <f t="shared" si="15"/>
        <v>0.49749891603415863</v>
      </c>
      <c r="BG24" s="33">
        <f t="shared" si="16"/>
        <v>0.49592941895715725</v>
      </c>
      <c r="BH24" s="33">
        <f t="shared" si="17"/>
        <v>0.4934820960654821</v>
      </c>
      <c r="BI24" s="33">
        <f t="shared" si="18"/>
        <v>0.45407630489080458</v>
      </c>
      <c r="BJ24" s="33">
        <f t="shared" si="19"/>
        <v>0.47190201546553451</v>
      </c>
    </row>
    <row r="25" spans="1:62" x14ac:dyDescent="0.2">
      <c r="A25" s="2">
        <v>22</v>
      </c>
      <c r="B25" s="2" t="s">
        <v>61</v>
      </c>
      <c r="C25" s="6">
        <f>123028+2821705+W25</f>
        <v>2987397</v>
      </c>
      <c r="D25" s="6">
        <f>105493+2897541+X25</f>
        <v>3046190</v>
      </c>
      <c r="E25" s="11">
        <f>181141+2995867+Y25</f>
        <v>3220316</v>
      </c>
      <c r="F25" s="11">
        <v>2829167</v>
      </c>
      <c r="G25" s="11">
        <f>311417+2635368+AA25</f>
        <v>2987738</v>
      </c>
      <c r="H25" s="11">
        <f>121786+2790300+AB25</f>
        <v>2953209</v>
      </c>
      <c r="I25" s="11">
        <f>128820+2786339+AC25</f>
        <v>2955791</v>
      </c>
      <c r="J25" s="11">
        <f>89425+2791507+AD25</f>
        <v>2923391</v>
      </c>
      <c r="K25" s="11">
        <f>266895+2625018+AE25</f>
        <v>2926958</v>
      </c>
      <c r="L25" s="11">
        <f>276032+2958403+AF25</f>
        <v>3269435</v>
      </c>
      <c r="M25" s="11">
        <f>296742+2927907+AG25</f>
        <v>3260113</v>
      </c>
      <c r="N25" s="11">
        <f>242489+2681419+AH25</f>
        <v>2964914</v>
      </c>
      <c r="O25" s="11">
        <f>364997+2552597+AI25</f>
        <v>2948353</v>
      </c>
      <c r="P25" s="11">
        <f>94870+2621496+AJ25</f>
        <v>2747001</v>
      </c>
      <c r="Q25" s="11">
        <f>132939+2620505+AK25</f>
        <v>2784486</v>
      </c>
      <c r="R25" s="11">
        <f>272173+2748100+AL25</f>
        <v>3065354</v>
      </c>
      <c r="S25" s="11">
        <v>2636226</v>
      </c>
      <c r="T25" s="11">
        <f>408907+2752935+AN25</f>
        <v>3187466</v>
      </c>
      <c r="U25" s="11">
        <f>269041+2708607+AO25</f>
        <v>3003272</v>
      </c>
      <c r="V25" s="11">
        <f>368479+2625782+AP25</f>
        <v>3030598</v>
      </c>
      <c r="W25" s="6">
        <v>42664</v>
      </c>
      <c r="X25" s="6">
        <v>43156</v>
      </c>
      <c r="Y25" s="6">
        <v>43308</v>
      </c>
      <c r="Z25" s="6">
        <v>43539</v>
      </c>
      <c r="AA25" s="6">
        <v>40953</v>
      </c>
      <c r="AB25" s="6">
        <v>41123</v>
      </c>
      <c r="AC25" s="6">
        <v>40632</v>
      </c>
      <c r="AD25" s="6">
        <v>42459</v>
      </c>
      <c r="AE25" s="6">
        <v>35045</v>
      </c>
      <c r="AF25" s="6">
        <v>35000</v>
      </c>
      <c r="AG25" s="6">
        <v>35464</v>
      </c>
      <c r="AH25" s="6">
        <v>41006</v>
      </c>
      <c r="AI25" s="6">
        <v>30759</v>
      </c>
      <c r="AJ25" s="6">
        <v>30635</v>
      </c>
      <c r="AK25" s="6">
        <v>31042</v>
      </c>
      <c r="AL25" s="6">
        <v>45081</v>
      </c>
      <c r="AM25" s="6">
        <v>25624</v>
      </c>
      <c r="AN25" s="6">
        <v>25624</v>
      </c>
      <c r="AO25" s="6">
        <v>25624</v>
      </c>
      <c r="AP25" s="6">
        <v>36337</v>
      </c>
      <c r="AQ25" s="33">
        <f t="shared" si="20"/>
        <v>1.4281329197291153</v>
      </c>
      <c r="AR25" s="33">
        <f t="shared" si="1"/>
        <v>1.416720559124677</v>
      </c>
      <c r="AS25" s="33">
        <f t="shared" si="2"/>
        <v>1.3448369663101385</v>
      </c>
      <c r="AT25" s="33">
        <f t="shared" si="3"/>
        <v>1.5389335447500978</v>
      </c>
      <c r="AU25" s="33">
        <f t="shared" si="4"/>
        <v>1.3707025180922825</v>
      </c>
      <c r="AV25" s="33">
        <f t="shared" si="5"/>
        <v>1.3924852592552712</v>
      </c>
      <c r="AW25" s="33">
        <f t="shared" si="6"/>
        <v>1.3746574098100981</v>
      </c>
      <c r="AX25" s="33">
        <f t="shared" si="7"/>
        <v>1.4523886815003535</v>
      </c>
      <c r="AY25" s="33">
        <f t="shared" si="8"/>
        <v>1.1973181712890995</v>
      </c>
      <c r="AZ25" s="33">
        <f t="shared" si="9"/>
        <v>1.0705213591950904</v>
      </c>
      <c r="BA25" s="33">
        <f t="shared" si="10"/>
        <v>1.0878150542634566</v>
      </c>
      <c r="BB25" s="33">
        <f t="shared" si="11"/>
        <v>1.3830418015497246</v>
      </c>
      <c r="BC25" s="33">
        <f t="shared" si="12"/>
        <v>1.0432604237009611</v>
      </c>
      <c r="BD25" s="33">
        <f t="shared" si="13"/>
        <v>1.1152161939511489</v>
      </c>
      <c r="BE25" s="33">
        <f t="shared" si="14"/>
        <v>1.1148197548847434</v>
      </c>
      <c r="BF25" s="33">
        <f t="shared" si="15"/>
        <v>1.4706621160231412</v>
      </c>
      <c r="BG25" s="33">
        <f t="shared" si="16"/>
        <v>0.97199557245850698</v>
      </c>
      <c r="BH25" s="33">
        <f t="shared" si="17"/>
        <v>0.80389877099865537</v>
      </c>
      <c r="BI25" s="33">
        <f t="shared" si="18"/>
        <v>0.85320277350836027</v>
      </c>
      <c r="BJ25" s="33">
        <f t="shared" si="19"/>
        <v>1.1990042889225163</v>
      </c>
    </row>
    <row r="26" spans="1:62" x14ac:dyDescent="0.2">
      <c r="A26" s="2">
        <v>23</v>
      </c>
      <c r="B26" s="2" t="s">
        <v>63</v>
      </c>
      <c r="C26" s="6">
        <v>444996150</v>
      </c>
      <c r="D26" s="6">
        <v>378521358</v>
      </c>
      <c r="E26" s="11">
        <v>396636494</v>
      </c>
      <c r="F26" s="11">
        <v>790040841</v>
      </c>
      <c r="G26" s="6">
        <v>340595603</v>
      </c>
      <c r="H26" s="11">
        <v>291603925</v>
      </c>
      <c r="I26" s="11">
        <v>335927371</v>
      </c>
      <c r="J26" s="11">
        <v>376781136</v>
      </c>
      <c r="K26" s="11">
        <v>309912049</v>
      </c>
      <c r="L26" s="11">
        <v>323082523</v>
      </c>
      <c r="M26" s="11">
        <v>338842311</v>
      </c>
      <c r="N26" s="6">
        <v>354218276</v>
      </c>
      <c r="O26" s="11">
        <v>264743882</v>
      </c>
      <c r="P26" s="11">
        <v>280163576</v>
      </c>
      <c r="Q26" s="11">
        <v>269408548</v>
      </c>
      <c r="R26" s="11">
        <v>304384786</v>
      </c>
      <c r="S26" s="11">
        <v>63236528</v>
      </c>
      <c r="T26" s="11">
        <v>322089553</v>
      </c>
      <c r="U26" s="11">
        <v>323931703</v>
      </c>
      <c r="V26" s="11">
        <v>312820774</v>
      </c>
      <c r="W26" s="6">
        <v>35331040</v>
      </c>
      <c r="X26" s="6">
        <v>46118635</v>
      </c>
      <c r="Y26" s="6">
        <v>50082617</v>
      </c>
      <c r="Z26" s="6">
        <v>57646251</v>
      </c>
      <c r="AA26" s="6">
        <v>34925032</v>
      </c>
      <c r="AB26" s="6">
        <v>35230435</v>
      </c>
      <c r="AC26" s="6">
        <v>35168448</v>
      </c>
      <c r="AD26" s="6">
        <v>37119973</v>
      </c>
      <c r="AE26" s="6">
        <v>20130289</v>
      </c>
      <c r="AF26" s="6">
        <v>20504124</v>
      </c>
      <c r="AG26" s="6">
        <v>28258347</v>
      </c>
      <c r="AH26" s="6">
        <v>33053576</v>
      </c>
      <c r="AI26" s="6">
        <v>18514442</v>
      </c>
      <c r="AJ26" s="6">
        <v>18026778</v>
      </c>
      <c r="AK26" s="6">
        <v>16710318</v>
      </c>
      <c r="AL26" s="6">
        <v>17790217</v>
      </c>
      <c r="AM26" s="6">
        <v>1302908</v>
      </c>
      <c r="AN26" s="6">
        <v>12704497</v>
      </c>
      <c r="AO26" s="6">
        <v>18311880</v>
      </c>
      <c r="AP26" s="6">
        <v>18297304</v>
      </c>
      <c r="AQ26" s="33">
        <f t="shared" si="20"/>
        <v>7.939628241727485</v>
      </c>
      <c r="AR26" s="33">
        <f t="shared" si="1"/>
        <v>12.183892407994584</v>
      </c>
      <c r="AS26" s="33">
        <f t="shared" si="2"/>
        <v>12.626830298676451</v>
      </c>
      <c r="AT26" s="33">
        <f t="shared" si="3"/>
        <v>7.2966165808635717</v>
      </c>
      <c r="AU26" s="33">
        <f t="shared" si="4"/>
        <v>10.254105364948003</v>
      </c>
      <c r="AV26" s="33">
        <f t="shared" si="5"/>
        <v>12.081605211589659</v>
      </c>
      <c r="AW26" s="33">
        <f t="shared" si="6"/>
        <v>10.469062968971349</v>
      </c>
      <c r="AX26" s="33">
        <f t="shared" si="7"/>
        <v>9.8518660976700279</v>
      </c>
      <c r="AY26" s="33">
        <f t="shared" si="8"/>
        <v>6.4954844656588362</v>
      </c>
      <c r="AZ26" s="33">
        <f t="shared" si="9"/>
        <v>6.3464045685937647</v>
      </c>
      <c r="BA26" s="33">
        <f t="shared" si="10"/>
        <v>8.3396748524714202</v>
      </c>
      <c r="BB26" s="33">
        <f t="shared" si="11"/>
        <v>9.3314146218700476</v>
      </c>
      <c r="BC26" s="33">
        <f t="shared" si="12"/>
        <v>6.9933408319516905</v>
      </c>
      <c r="BD26" s="33">
        <f t="shared" si="13"/>
        <v>6.4343760375188808</v>
      </c>
      <c r="BE26" s="33">
        <f t="shared" si="14"/>
        <v>6.2025938390046926</v>
      </c>
      <c r="BF26" s="33">
        <f t="shared" si="15"/>
        <v>5.8446472419945463</v>
      </c>
      <c r="BG26" s="33">
        <f t="shared" si="16"/>
        <v>2.0603724480256096</v>
      </c>
      <c r="BH26" s="33">
        <f t="shared" si="17"/>
        <v>3.9443989665818191</v>
      </c>
      <c r="BI26" s="33">
        <f t="shared" si="18"/>
        <v>5.6530064301856866</v>
      </c>
      <c r="BJ26" s="33">
        <f t="shared" si="19"/>
        <v>5.8491332803875746</v>
      </c>
    </row>
    <row r="27" spans="1:62" x14ac:dyDescent="0.2">
      <c r="A27" s="2">
        <v>24</v>
      </c>
      <c r="B27" s="2" t="s">
        <v>65</v>
      </c>
      <c r="C27" s="6">
        <v>3494997</v>
      </c>
      <c r="D27" s="6">
        <v>3637736</v>
      </c>
      <c r="E27" s="11">
        <v>2708665</v>
      </c>
      <c r="F27" s="11">
        <v>2881571</v>
      </c>
      <c r="G27" s="11">
        <v>3099480</v>
      </c>
      <c r="H27" s="11">
        <v>3376937</v>
      </c>
      <c r="I27" s="11">
        <v>3514614</v>
      </c>
      <c r="J27" s="11">
        <v>5452868</v>
      </c>
      <c r="K27" s="11">
        <v>2270801</v>
      </c>
      <c r="L27" s="11">
        <v>1809308</v>
      </c>
      <c r="M27" s="11">
        <v>2223378</v>
      </c>
      <c r="N27" s="11">
        <v>2388298</v>
      </c>
      <c r="O27" s="11">
        <v>1666828</v>
      </c>
      <c r="P27" s="11">
        <v>1544917</v>
      </c>
      <c r="Q27" s="11">
        <v>1854561</v>
      </c>
      <c r="R27" s="11">
        <v>1659715</v>
      </c>
      <c r="S27" s="11">
        <v>1809468</v>
      </c>
      <c r="T27" s="11">
        <v>1709773</v>
      </c>
      <c r="U27" s="11">
        <v>1860062</v>
      </c>
      <c r="V27" s="11">
        <v>1491012</v>
      </c>
      <c r="W27" s="6">
        <v>112118</v>
      </c>
      <c r="X27" s="6">
        <v>110460</v>
      </c>
      <c r="Y27" s="6">
        <v>83665</v>
      </c>
      <c r="Z27" s="6">
        <v>100004</v>
      </c>
      <c r="AA27" s="6">
        <v>111286</v>
      </c>
      <c r="AB27" s="6">
        <v>100600</v>
      </c>
      <c r="AC27" s="6">
        <v>102287</v>
      </c>
      <c r="AD27" s="6">
        <v>109160</v>
      </c>
      <c r="AE27" s="6">
        <v>119340</v>
      </c>
      <c r="AF27" s="6">
        <v>114532</v>
      </c>
      <c r="AG27" s="6">
        <v>114978</v>
      </c>
      <c r="AH27" s="6">
        <v>103233</v>
      </c>
      <c r="AI27" s="6">
        <v>51946</v>
      </c>
      <c r="AJ27" s="6">
        <v>52075</v>
      </c>
      <c r="AK27" s="6">
        <v>52663</v>
      </c>
      <c r="AL27" s="6">
        <v>64135</v>
      </c>
      <c r="AM27" s="6">
        <v>44331</v>
      </c>
      <c r="AN27" s="6">
        <v>46493</v>
      </c>
      <c r="AO27" s="6">
        <v>46541</v>
      </c>
      <c r="AP27" s="6">
        <v>51611</v>
      </c>
      <c r="AQ27" s="33">
        <f t="shared" si="20"/>
        <v>3.2079569739258718</v>
      </c>
      <c r="AR27" s="33">
        <f t="shared" si="1"/>
        <v>3.0365040233815757</v>
      </c>
      <c r="AS27" s="33">
        <f t="shared" si="2"/>
        <v>3.0887909726747309</v>
      </c>
      <c r="AT27" s="33">
        <f t="shared" si="3"/>
        <v>3.4704680190076873</v>
      </c>
      <c r="AU27" s="33">
        <f t="shared" si="4"/>
        <v>3.5904732406726287</v>
      </c>
      <c r="AV27" s="33">
        <f t="shared" si="5"/>
        <v>2.9790309976170715</v>
      </c>
      <c r="AW27" s="33">
        <f t="shared" si="6"/>
        <v>2.9103338232875644</v>
      </c>
      <c r="AX27" s="33">
        <f t="shared" si="7"/>
        <v>2.0018823122070808</v>
      </c>
      <c r="AY27" s="33">
        <f t="shared" si="8"/>
        <v>5.2554142789262466</v>
      </c>
      <c r="AZ27" s="33">
        <f t="shared" si="9"/>
        <v>6.3301549542698092</v>
      </c>
      <c r="BA27" s="33">
        <f t="shared" si="10"/>
        <v>5.1713203962619039</v>
      </c>
      <c r="BB27" s="33">
        <f t="shared" si="11"/>
        <v>4.3224505484658948</v>
      </c>
      <c r="BC27" s="33">
        <f t="shared" si="12"/>
        <v>3.1164583268339623</v>
      </c>
      <c r="BD27" s="33">
        <f t="shared" si="13"/>
        <v>3.3707312431671084</v>
      </c>
      <c r="BE27" s="33">
        <f t="shared" si="14"/>
        <v>2.8396477656976504</v>
      </c>
      <c r="BF27" s="33">
        <f t="shared" si="15"/>
        <v>3.8642176518257654</v>
      </c>
      <c r="BG27" s="33">
        <f t="shared" si="16"/>
        <v>2.4499466141429416</v>
      </c>
      <c r="BH27" s="33">
        <f t="shared" si="17"/>
        <v>2.7192498653330004</v>
      </c>
      <c r="BI27" s="33">
        <f t="shared" si="18"/>
        <v>2.502120897045367</v>
      </c>
      <c r="BJ27" s="33">
        <f t="shared" si="19"/>
        <v>3.4614744884682351</v>
      </c>
    </row>
    <row r="28" spans="1:62" x14ac:dyDescent="0.2">
      <c r="A28" s="2">
        <v>25</v>
      </c>
      <c r="B28" s="2" t="s">
        <v>67</v>
      </c>
      <c r="C28" s="6">
        <v>7702483</v>
      </c>
      <c r="D28" s="6">
        <v>8591295</v>
      </c>
      <c r="E28" s="11">
        <v>10733656</v>
      </c>
      <c r="F28" s="11">
        <f>10495718738242/1000000</f>
        <v>10495718.738242</v>
      </c>
      <c r="G28" s="11">
        <v>5206782</v>
      </c>
      <c r="H28" s="11">
        <f>5251616+706819</f>
        <v>5958435</v>
      </c>
      <c r="I28" s="11">
        <v>6623581</v>
      </c>
      <c r="J28" s="11">
        <v>6672893</v>
      </c>
      <c r="K28" s="11">
        <v>3164608</v>
      </c>
      <c r="L28" s="11">
        <v>4195426</v>
      </c>
      <c r="M28" s="11">
        <v>4302602</v>
      </c>
      <c r="N28" s="11">
        <v>4744999</v>
      </c>
      <c r="O28" s="11">
        <v>2679013</v>
      </c>
      <c r="P28" s="11">
        <v>3144521</v>
      </c>
      <c r="Q28" s="11">
        <v>3290596</v>
      </c>
      <c r="R28" s="11">
        <v>2565078</v>
      </c>
      <c r="S28" s="11">
        <v>1938301</v>
      </c>
      <c r="T28" s="11">
        <v>2274209</v>
      </c>
      <c r="U28" s="11">
        <v>2407633</v>
      </c>
      <c r="V28" s="11">
        <v>2429743</v>
      </c>
      <c r="W28" s="6">
        <v>172233</v>
      </c>
      <c r="X28" s="6">
        <v>178652</v>
      </c>
      <c r="Y28" s="6">
        <v>189271</v>
      </c>
      <c r="Z28" s="6">
        <f>210573909351/1000000</f>
        <v>210573.90935100001</v>
      </c>
      <c r="AA28" s="6">
        <v>150467</v>
      </c>
      <c r="AB28" s="6">
        <v>150467</v>
      </c>
      <c r="AC28" s="6">
        <v>158308</v>
      </c>
      <c r="AD28" s="6">
        <v>162913</v>
      </c>
      <c r="AE28" s="6">
        <v>165411</v>
      </c>
      <c r="AF28" s="11">
        <v>121634</v>
      </c>
      <c r="AG28" s="6">
        <v>134984</v>
      </c>
      <c r="AH28" s="6">
        <v>146762</v>
      </c>
      <c r="AI28" s="6">
        <v>129564</v>
      </c>
      <c r="AJ28" s="6">
        <v>143923</v>
      </c>
      <c r="AK28" s="6">
        <v>155695</v>
      </c>
      <c r="AL28" s="6">
        <v>161984</v>
      </c>
      <c r="AM28" s="6">
        <v>159372</v>
      </c>
      <c r="AN28" s="6">
        <v>163502</v>
      </c>
      <c r="AO28" s="6">
        <v>173084</v>
      </c>
      <c r="AP28" s="6">
        <v>129579</v>
      </c>
      <c r="AQ28" s="33">
        <f t="shared" si="20"/>
        <v>2.2360711474468689</v>
      </c>
      <c r="AR28" s="33">
        <f t="shared" si="1"/>
        <v>2.0794536795675156</v>
      </c>
      <c r="AS28" s="33">
        <f t="shared" si="2"/>
        <v>1.7633414001715724</v>
      </c>
      <c r="AT28" s="33">
        <f t="shared" si="3"/>
        <v>2.006283843942549</v>
      </c>
      <c r="AU28" s="33">
        <f t="shared" si="4"/>
        <v>2.8898271523562924</v>
      </c>
      <c r="AV28" s="33">
        <f t="shared" si="5"/>
        <v>2.525277191074502</v>
      </c>
      <c r="AW28" s="33">
        <f t="shared" si="6"/>
        <v>2.390066642198533</v>
      </c>
      <c r="AX28" s="33">
        <f t="shared" si="7"/>
        <v>2.4414148406096126</v>
      </c>
      <c r="AY28" s="33">
        <f t="shared" si="8"/>
        <v>5.2269033005035697</v>
      </c>
      <c r="AZ28" s="33">
        <f t="shared" si="9"/>
        <v>2.8992049913405693</v>
      </c>
      <c r="BA28" s="33">
        <f t="shared" si="10"/>
        <v>3.1372643809490159</v>
      </c>
      <c r="BB28" s="33">
        <f t="shared" si="11"/>
        <v>3.0929827382471524</v>
      </c>
      <c r="BC28" s="33">
        <f t="shared" si="12"/>
        <v>4.8362587266280528</v>
      </c>
      <c r="BD28" s="33">
        <f t="shared" si="13"/>
        <v>4.5769451054707542</v>
      </c>
      <c r="BE28" s="33">
        <f t="shared" si="14"/>
        <v>4.7315136832354989</v>
      </c>
      <c r="BF28" s="33">
        <f t="shared" si="15"/>
        <v>6.3149736577211293</v>
      </c>
      <c r="BG28" s="33">
        <f t="shared" si="16"/>
        <v>8.2222523746311857</v>
      </c>
      <c r="BH28" s="33">
        <f t="shared" si="17"/>
        <v>7.1894007982555701</v>
      </c>
      <c r="BI28" s="33">
        <f t="shared" si="18"/>
        <v>7.188969415189109</v>
      </c>
      <c r="BJ28" s="33">
        <f t="shared" si="19"/>
        <v>5.3330331644128623</v>
      </c>
    </row>
    <row r="29" spans="1:62" x14ac:dyDescent="0.2">
      <c r="A29" s="2">
        <v>26</v>
      </c>
      <c r="B29" s="2" t="s">
        <v>71</v>
      </c>
      <c r="C29" s="6">
        <f>4838962184+W29</f>
        <v>4961436477</v>
      </c>
      <c r="D29" s="6">
        <f>4812160003+X29</f>
        <v>4934059799</v>
      </c>
      <c r="E29" s="11">
        <f>5896311657+Y29</f>
        <v>6025637398</v>
      </c>
      <c r="F29" s="11">
        <v>5926618341</v>
      </c>
      <c r="G29" s="11">
        <f>3901391673+AA29</f>
        <v>4033562101</v>
      </c>
      <c r="H29" s="11">
        <f>4300621373+AB29</f>
        <v>4435207988</v>
      </c>
      <c r="I29" s="11">
        <f>4877508074+AC29</f>
        <v>5012597785</v>
      </c>
      <c r="J29" s="11">
        <f>4885666314+AD29</f>
        <v>5007481159</v>
      </c>
      <c r="K29" s="11">
        <f>2997973588+AE29</f>
        <v>3092120175</v>
      </c>
      <c r="L29" s="11">
        <f>3591648199+AD29</f>
        <v>3713463044</v>
      </c>
      <c r="M29" s="11">
        <f>3951878483+AF29</f>
        <v>4034518776</v>
      </c>
      <c r="N29" s="11">
        <f>3837918210+AH29</f>
        <v>3969774282</v>
      </c>
      <c r="O29" s="11">
        <v>3116841374</v>
      </c>
      <c r="P29" s="11">
        <v>3223036934</v>
      </c>
      <c r="Q29" s="11">
        <v>3809059046</v>
      </c>
      <c r="R29" s="11">
        <f>3543839969+AL29</f>
        <v>3626833650</v>
      </c>
      <c r="S29" s="11">
        <v>3126118017</v>
      </c>
      <c r="T29" s="11">
        <v>3375149606</v>
      </c>
      <c r="U29" s="11">
        <v>3412678680</v>
      </c>
      <c r="V29" s="11">
        <v>3373788063</v>
      </c>
      <c r="W29" s="6">
        <v>122474293</v>
      </c>
      <c r="X29" s="6">
        <v>121899796</v>
      </c>
      <c r="Y29" s="6">
        <v>129325741</v>
      </c>
      <c r="Z29" s="6">
        <v>140402984</v>
      </c>
      <c r="AA29" s="6">
        <v>132170428</v>
      </c>
      <c r="AB29" s="6">
        <v>134586615</v>
      </c>
      <c r="AC29" s="6">
        <v>135089711</v>
      </c>
      <c r="AD29" s="6">
        <v>121814845</v>
      </c>
      <c r="AE29" s="6">
        <v>94146587</v>
      </c>
      <c r="AF29" s="6">
        <v>82640293</v>
      </c>
      <c r="AG29" s="6">
        <v>95126950</v>
      </c>
      <c r="AH29" s="6">
        <v>131856072</v>
      </c>
      <c r="AI29" s="6">
        <v>77398896</v>
      </c>
      <c r="AJ29" s="6">
        <v>79620770</v>
      </c>
      <c r="AK29" s="6">
        <v>85883911</v>
      </c>
      <c r="AL29" s="6">
        <v>82993681</v>
      </c>
      <c r="AM29" s="6">
        <v>70789396</v>
      </c>
      <c r="AN29" s="6">
        <v>69020803</v>
      </c>
      <c r="AO29" s="6">
        <v>68146725</v>
      </c>
      <c r="AP29" s="6">
        <v>72540759</v>
      </c>
      <c r="AQ29" s="33">
        <f t="shared" si="20"/>
        <v>2.4685248630665879</v>
      </c>
      <c r="AR29" s="33">
        <f t="shared" si="1"/>
        <v>2.4705780020077133</v>
      </c>
      <c r="AS29" s="33">
        <f t="shared" si="2"/>
        <v>2.1462582704184152</v>
      </c>
      <c r="AT29" s="33">
        <f t="shared" si="3"/>
        <v>2.3690235463400833</v>
      </c>
      <c r="AU29" s="33">
        <f t="shared" si="4"/>
        <v>3.2767669045490173</v>
      </c>
      <c r="AV29" s="33">
        <f t="shared" si="5"/>
        <v>3.0345051543048402</v>
      </c>
      <c r="AW29" s="33">
        <f t="shared" si="6"/>
        <v>2.6950040037972047</v>
      </c>
      <c r="AX29" s="33">
        <f t="shared" si="7"/>
        <v>2.4326570811167381</v>
      </c>
      <c r="AY29" s="33">
        <f t="shared" si="8"/>
        <v>3.0447260026043454</v>
      </c>
      <c r="AZ29" s="33">
        <f t="shared" si="9"/>
        <v>2.2254238704091973</v>
      </c>
      <c r="BA29" s="33">
        <f t="shared" si="10"/>
        <v>2.3578264294090872</v>
      </c>
      <c r="BB29" s="33">
        <f t="shared" si="11"/>
        <v>3.3215004842434013</v>
      </c>
      <c r="BC29" s="33">
        <f t="shared" si="12"/>
        <v>2.4832478369173496</v>
      </c>
      <c r="BD29" s="33">
        <f t="shared" si="13"/>
        <v>2.4703648028378442</v>
      </c>
      <c r="BE29" s="33">
        <f t="shared" si="14"/>
        <v>2.2547277414927214</v>
      </c>
      <c r="BF29" s="33">
        <f t="shared" si="15"/>
        <v>2.2883233423181677</v>
      </c>
      <c r="BG29" s="33">
        <f t="shared" si="16"/>
        <v>2.2644505298598263</v>
      </c>
      <c r="BH29" s="33">
        <f t="shared" si="17"/>
        <v>2.0449701807973724</v>
      </c>
      <c r="BI29" s="33">
        <f t="shared" si="18"/>
        <v>1.9968690694314062</v>
      </c>
      <c r="BJ29" s="33">
        <f t="shared" si="19"/>
        <v>2.1501279169117744</v>
      </c>
    </row>
    <row r="30" spans="1:62" x14ac:dyDescent="0.2">
      <c r="A30" s="2">
        <v>27</v>
      </c>
      <c r="B30" s="2" t="s">
        <v>79</v>
      </c>
      <c r="C30" s="6">
        <v>16394</v>
      </c>
      <c r="D30" s="6">
        <v>20144</v>
      </c>
      <c r="E30" s="11">
        <v>22624</v>
      </c>
      <c r="F30" s="11">
        <v>16433</v>
      </c>
      <c r="G30" s="11">
        <v>12517</v>
      </c>
      <c r="H30" s="11">
        <v>14473</v>
      </c>
      <c r="I30" s="11">
        <v>16581</v>
      </c>
      <c r="J30" s="11">
        <v>13553</v>
      </c>
      <c r="K30" s="11">
        <v>11710</v>
      </c>
      <c r="L30" s="11">
        <v>13429</v>
      </c>
      <c r="M30" s="11">
        <v>14114</v>
      </c>
      <c r="N30" s="11">
        <v>10353</v>
      </c>
      <c r="O30" s="11">
        <v>11471</v>
      </c>
      <c r="P30" s="11">
        <v>11883</v>
      </c>
      <c r="Q30" s="11">
        <v>12503</v>
      </c>
      <c r="R30" s="11">
        <v>10565</v>
      </c>
      <c r="S30" s="11">
        <v>9719</v>
      </c>
      <c r="T30" s="11">
        <v>10848</v>
      </c>
      <c r="U30" s="11">
        <v>10957</v>
      </c>
      <c r="V30" s="11">
        <v>10565</v>
      </c>
      <c r="W30" s="6">
        <v>4277</v>
      </c>
      <c r="X30" s="6">
        <v>5104</v>
      </c>
      <c r="Y30" s="6">
        <v>5105</v>
      </c>
      <c r="Z30" s="6">
        <v>5029</v>
      </c>
      <c r="AA30" s="6">
        <v>3469</v>
      </c>
      <c r="AB30" s="6">
        <v>3315</v>
      </c>
      <c r="AC30" s="6">
        <v>3847</v>
      </c>
      <c r="AD30" s="6">
        <v>4331</v>
      </c>
      <c r="AE30" s="6">
        <v>2841</v>
      </c>
      <c r="AF30" s="6">
        <v>3197</v>
      </c>
      <c r="AG30" s="6">
        <v>3905</v>
      </c>
      <c r="AH30" s="6">
        <v>2990</v>
      </c>
      <c r="AI30" s="6">
        <v>3241</v>
      </c>
      <c r="AJ30" s="6">
        <v>3567</v>
      </c>
      <c r="AK30" s="6">
        <v>3089</v>
      </c>
      <c r="AL30" s="6">
        <v>3048</v>
      </c>
      <c r="AM30" s="6">
        <v>3176</v>
      </c>
      <c r="AN30" s="6">
        <v>3200</v>
      </c>
      <c r="AO30" s="6">
        <v>3241</v>
      </c>
      <c r="AP30" s="6">
        <v>3048</v>
      </c>
      <c r="AQ30" s="33">
        <f t="shared" si="20"/>
        <v>26.088812980358668</v>
      </c>
      <c r="AR30" s="33">
        <f t="shared" si="1"/>
        <v>25.337569499602857</v>
      </c>
      <c r="AS30" s="33">
        <f t="shared" si="2"/>
        <v>22.564533239038191</v>
      </c>
      <c r="AT30" s="33">
        <f t="shared" si="3"/>
        <v>30.603054828698351</v>
      </c>
      <c r="AU30" s="33">
        <f t="shared" si="4"/>
        <v>27.714308540385073</v>
      </c>
      <c r="AV30" s="33">
        <f t="shared" si="5"/>
        <v>22.904719132177156</v>
      </c>
      <c r="AW30" s="33">
        <f t="shared" si="6"/>
        <v>23.201254447862009</v>
      </c>
      <c r="AX30" s="33">
        <f t="shared" si="7"/>
        <v>31.95602449642146</v>
      </c>
      <c r="AY30" s="33">
        <f t="shared" si="8"/>
        <v>24.261315115286081</v>
      </c>
      <c r="AZ30" s="33">
        <f t="shared" si="9"/>
        <v>23.806687020627002</v>
      </c>
      <c r="BA30" s="33">
        <f t="shared" si="10"/>
        <v>27.667564120731186</v>
      </c>
      <c r="BB30" s="33">
        <f t="shared" si="11"/>
        <v>28.880517724331114</v>
      </c>
      <c r="BC30" s="33">
        <f t="shared" si="12"/>
        <v>28.253857553831402</v>
      </c>
      <c r="BD30" s="33">
        <f t="shared" si="13"/>
        <v>30.017672304973491</v>
      </c>
      <c r="BE30" s="33">
        <f t="shared" si="14"/>
        <v>24.706070543069664</v>
      </c>
      <c r="BF30" s="33">
        <f t="shared" si="15"/>
        <v>28.849976336961664</v>
      </c>
      <c r="BG30" s="33">
        <f t="shared" si="16"/>
        <v>32.67825908015228</v>
      </c>
      <c r="BH30" s="33">
        <f t="shared" si="17"/>
        <v>29.498525073746311</v>
      </c>
      <c r="BI30" s="33">
        <f t="shared" si="18"/>
        <v>29.579264397189007</v>
      </c>
      <c r="BJ30" s="33">
        <f t="shared" si="19"/>
        <v>28.849976336961664</v>
      </c>
    </row>
    <row r="31" spans="1:62" x14ac:dyDescent="0.2">
      <c r="A31" s="2">
        <v>28</v>
      </c>
      <c r="B31" s="2" t="s">
        <v>85</v>
      </c>
      <c r="C31" s="6">
        <v>7563795</v>
      </c>
      <c r="D31" s="6">
        <v>8115384</v>
      </c>
      <c r="E31" s="11">
        <v>6037842</v>
      </c>
      <c r="F31" s="11">
        <v>5372711</v>
      </c>
      <c r="G31" s="11">
        <v>7587162</v>
      </c>
      <c r="H31" s="11">
        <v>7674792</v>
      </c>
      <c r="I31" s="11">
        <v>6806337</v>
      </c>
      <c r="J31" s="11">
        <v>14465703</v>
      </c>
      <c r="K31" s="11">
        <v>6002509</v>
      </c>
      <c r="L31" s="11">
        <v>5491018</v>
      </c>
      <c r="M31" s="11">
        <v>5492913</v>
      </c>
      <c r="N31" s="11">
        <v>4642848</v>
      </c>
      <c r="O31" s="11">
        <v>5398797</v>
      </c>
      <c r="P31" s="11">
        <v>5209115</v>
      </c>
      <c r="Q31" s="11">
        <v>6321502</v>
      </c>
      <c r="R31" s="11">
        <v>5339562</v>
      </c>
      <c r="S31" s="11">
        <v>12601022</v>
      </c>
      <c r="T31" s="11">
        <v>6395313</v>
      </c>
      <c r="U31" s="11">
        <v>6459902</v>
      </c>
      <c r="V31" s="11">
        <v>6021534</v>
      </c>
      <c r="W31" s="6">
        <v>726499</v>
      </c>
      <c r="X31" s="6">
        <v>716173</v>
      </c>
      <c r="Y31" s="6">
        <v>283735</v>
      </c>
      <c r="Z31" s="6">
        <v>282037</v>
      </c>
      <c r="AA31" s="6">
        <v>538435</v>
      </c>
      <c r="AB31" s="6">
        <v>560846</v>
      </c>
      <c r="AC31" s="6">
        <v>597462</v>
      </c>
      <c r="AD31" s="6">
        <v>742395</v>
      </c>
      <c r="AE31" s="6">
        <v>477276</v>
      </c>
      <c r="AF31" s="6">
        <v>469776</v>
      </c>
      <c r="AG31" s="6">
        <v>438124</v>
      </c>
      <c r="AH31" s="6">
        <v>532095</v>
      </c>
      <c r="AI31" s="6">
        <v>391075</v>
      </c>
      <c r="AJ31" s="6">
        <v>404431</v>
      </c>
      <c r="AK31" s="6">
        <v>396582</v>
      </c>
      <c r="AL31" s="6">
        <v>527369</v>
      </c>
      <c r="AM31" s="6">
        <v>173202</v>
      </c>
      <c r="AN31" s="6">
        <v>174835</v>
      </c>
      <c r="AO31" s="6">
        <v>295557</v>
      </c>
      <c r="AP31" s="6">
        <v>381480</v>
      </c>
      <c r="AQ31" s="33">
        <f t="shared" si="20"/>
        <v>9.6049535980285032</v>
      </c>
      <c r="AR31" s="33">
        <f t="shared" si="1"/>
        <v>8.8248812379056858</v>
      </c>
      <c r="AS31" s="33">
        <f t="shared" si="2"/>
        <v>4.6992783183130662</v>
      </c>
      <c r="AT31" s="33">
        <f t="shared" si="3"/>
        <v>5.2494355270551498</v>
      </c>
      <c r="AU31" s="33">
        <f t="shared" si="4"/>
        <v>7.0966588033839262</v>
      </c>
      <c r="AV31" s="33">
        <f t="shared" si="5"/>
        <v>7.3076377835386284</v>
      </c>
      <c r="AW31" s="33">
        <f t="shared" si="6"/>
        <v>8.7780255370840443</v>
      </c>
      <c r="AX31" s="33">
        <f t="shared" si="7"/>
        <v>5.1321045371939409</v>
      </c>
      <c r="AY31" s="33">
        <f t="shared" si="8"/>
        <v>7.9512750418200122</v>
      </c>
      <c r="AZ31" s="33">
        <f t="shared" si="9"/>
        <v>8.5553534881874373</v>
      </c>
      <c r="BA31" s="33">
        <f t="shared" si="10"/>
        <v>7.9761685648398224</v>
      </c>
      <c r="BB31" s="33">
        <f t="shared" si="11"/>
        <v>11.460530260736514</v>
      </c>
      <c r="BC31" s="33">
        <f t="shared" si="12"/>
        <v>7.2437433746814346</v>
      </c>
      <c r="BD31" s="33">
        <f t="shared" si="13"/>
        <v>7.7639099923883421</v>
      </c>
      <c r="BE31" s="33">
        <f t="shared" si="14"/>
        <v>6.2735406870076131</v>
      </c>
      <c r="BF31" s="33">
        <f t="shared" si="15"/>
        <v>9.8766340759785152</v>
      </c>
      <c r="BG31" s="33">
        <f t="shared" si="16"/>
        <v>1.3745075597836429</v>
      </c>
      <c r="BH31" s="33">
        <f t="shared" si="17"/>
        <v>2.7337989555788749</v>
      </c>
      <c r="BI31" s="33">
        <f t="shared" si="18"/>
        <v>4.5752551664096455</v>
      </c>
      <c r="BJ31" s="33">
        <f t="shared" si="19"/>
        <v>6.3352627420188945</v>
      </c>
    </row>
    <row r="32" spans="1:62" x14ac:dyDescent="0.2">
      <c r="A32" s="2">
        <v>29</v>
      </c>
      <c r="B32" s="2" t="s">
        <v>87</v>
      </c>
      <c r="C32" s="6">
        <v>5439743</v>
      </c>
      <c r="D32" s="6">
        <v>5876166</v>
      </c>
      <c r="E32" s="11">
        <v>5275906</v>
      </c>
      <c r="F32" s="11">
        <v>5138569</v>
      </c>
      <c r="G32" s="11">
        <v>4690114</v>
      </c>
      <c r="H32" s="11">
        <v>5487435</v>
      </c>
      <c r="I32" s="11">
        <v>4705466</v>
      </c>
      <c r="J32" s="11">
        <v>4752867</v>
      </c>
      <c r="K32" s="11">
        <v>3967763</v>
      </c>
      <c r="L32" s="11">
        <v>4617364</v>
      </c>
      <c r="M32" s="11">
        <v>3645985</v>
      </c>
      <c r="N32" s="11">
        <v>3738748</v>
      </c>
      <c r="O32" s="11">
        <v>3943174</v>
      </c>
      <c r="P32" s="11">
        <v>4263664</v>
      </c>
      <c r="Q32" s="11">
        <v>3793414</v>
      </c>
      <c r="R32" s="11">
        <v>3257983</v>
      </c>
      <c r="S32" s="11">
        <v>4188504</v>
      </c>
      <c r="T32" s="11">
        <v>4871493</v>
      </c>
      <c r="U32" s="11">
        <v>4507889</v>
      </c>
      <c r="V32" s="11">
        <v>2915939</v>
      </c>
      <c r="W32" s="6">
        <v>78747</v>
      </c>
      <c r="X32" s="6">
        <v>77022</v>
      </c>
      <c r="Y32" s="6">
        <v>84875</v>
      </c>
      <c r="Z32" s="6">
        <v>155098</v>
      </c>
      <c r="AA32" s="6">
        <v>22996</v>
      </c>
      <c r="AB32" s="6">
        <v>37281</v>
      </c>
      <c r="AC32" s="6">
        <v>28510</v>
      </c>
      <c r="AD32" s="6">
        <v>37313</v>
      </c>
      <c r="AE32" s="6">
        <v>17040</v>
      </c>
      <c r="AF32" s="6">
        <v>26953</v>
      </c>
      <c r="AG32" s="6">
        <v>26777</v>
      </c>
      <c r="AH32" s="6">
        <v>30491</v>
      </c>
      <c r="AI32" s="6">
        <v>20622</v>
      </c>
      <c r="AJ32" s="6">
        <v>20657</v>
      </c>
      <c r="AK32" s="6">
        <v>16257</v>
      </c>
      <c r="AL32" s="6">
        <v>13357</v>
      </c>
      <c r="AM32" s="6">
        <v>13619</v>
      </c>
      <c r="AN32" s="6">
        <v>16423</v>
      </c>
      <c r="AO32" s="6">
        <v>16817</v>
      </c>
      <c r="AP32" s="6">
        <v>20424</v>
      </c>
      <c r="AQ32" s="33">
        <f t="shared" si="20"/>
        <v>1.4476235366266383</v>
      </c>
      <c r="AR32" s="33">
        <f t="shared" si="1"/>
        <v>1.3107526233942335</v>
      </c>
      <c r="AS32" s="33">
        <f t="shared" si="2"/>
        <v>1.6087284345096369</v>
      </c>
      <c r="AT32" s="33">
        <f t="shared" si="3"/>
        <v>3.0183111290322269</v>
      </c>
      <c r="AU32" s="33">
        <f t="shared" si="4"/>
        <v>0.49030791149213004</v>
      </c>
      <c r="AV32" s="33">
        <f t="shared" si="5"/>
        <v>0.67938845744869869</v>
      </c>
      <c r="AW32" s="33">
        <f t="shared" si="6"/>
        <v>0.60589110621562237</v>
      </c>
      <c r="AX32" s="33">
        <f t="shared" si="7"/>
        <v>0.78506299460935902</v>
      </c>
      <c r="AY32" s="33">
        <f t="shared" si="8"/>
        <v>0.42946113464942337</v>
      </c>
      <c r="AZ32" s="33">
        <f t="shared" si="9"/>
        <v>0.583731323759617</v>
      </c>
      <c r="BA32" s="33">
        <f t="shared" si="10"/>
        <v>0.73442430509176537</v>
      </c>
      <c r="BB32" s="33">
        <f t="shared" si="11"/>
        <v>0.81554038945657736</v>
      </c>
      <c r="BC32" s="33">
        <f t="shared" si="12"/>
        <v>0.5229797112681307</v>
      </c>
      <c r="BD32" s="33">
        <f t="shared" si="13"/>
        <v>0.48448939691307757</v>
      </c>
      <c r="BE32" s="33">
        <f t="shared" si="14"/>
        <v>0.42855854910642499</v>
      </c>
      <c r="BF32" s="33">
        <f t="shared" si="15"/>
        <v>0.40997758429064851</v>
      </c>
      <c r="BG32" s="33">
        <f t="shared" si="16"/>
        <v>0.32515189194041599</v>
      </c>
      <c r="BH32" s="33">
        <f t="shared" si="17"/>
        <v>0.33712457351370512</v>
      </c>
      <c r="BI32" s="33">
        <f t="shared" si="18"/>
        <v>0.37305710056303515</v>
      </c>
      <c r="BJ32" s="33">
        <f t="shared" si="19"/>
        <v>0.70042617489597692</v>
      </c>
    </row>
    <row r="33" spans="1:62" x14ac:dyDescent="0.2">
      <c r="A33" s="2">
        <v>30</v>
      </c>
      <c r="B33" s="2" t="s">
        <v>89</v>
      </c>
      <c r="C33" s="6">
        <v>5662527817</v>
      </c>
      <c r="D33" s="6">
        <v>7354587232</v>
      </c>
      <c r="E33" s="11">
        <v>7437158120</v>
      </c>
      <c r="F33" s="11">
        <v>7608518407</v>
      </c>
      <c r="G33" s="11">
        <v>2868988366</v>
      </c>
      <c r="H33" s="11">
        <v>3073498638</v>
      </c>
      <c r="I33" s="11">
        <f>5051806099+AC33</f>
        <v>5270845736</v>
      </c>
      <c r="J33" s="11">
        <v>5198259876</v>
      </c>
      <c r="K33" s="11">
        <v>2548065506</v>
      </c>
      <c r="L33" s="11">
        <v>2542170823</v>
      </c>
      <c r="M33" s="11">
        <v>2645425117</v>
      </c>
      <c r="N33" s="11">
        <v>2926858611</v>
      </c>
      <c r="O33" s="11">
        <f>1956675396+AI33</f>
        <v>2119987506</v>
      </c>
      <c r="P33" s="11">
        <v>2166281851</v>
      </c>
      <c r="Q33" s="11">
        <v>2610602499</v>
      </c>
      <c r="R33" s="11">
        <v>2952222438</v>
      </c>
      <c r="S33" s="11">
        <v>1411889858</v>
      </c>
      <c r="T33" s="11">
        <v>1960255728</v>
      </c>
      <c r="U33" s="11">
        <v>2261493311</v>
      </c>
      <c r="V33" s="11">
        <v>2131699450</v>
      </c>
      <c r="W33" s="6">
        <v>258026175</v>
      </c>
      <c r="X33" s="6">
        <v>270235678</v>
      </c>
      <c r="Y33" s="6">
        <v>282325413</v>
      </c>
      <c r="Z33" s="6">
        <v>331827609</v>
      </c>
      <c r="AA33" s="6">
        <v>194883034</v>
      </c>
      <c r="AB33" s="6">
        <v>200501363</v>
      </c>
      <c r="AC33" s="6">
        <v>219039637</v>
      </c>
      <c r="AD33" s="6">
        <v>263449138</v>
      </c>
      <c r="AE33" s="6">
        <v>170005128</v>
      </c>
      <c r="AF33" s="6">
        <v>167180436</v>
      </c>
      <c r="AG33" s="6">
        <v>172451834</v>
      </c>
      <c r="AH33" s="6">
        <v>196573572</v>
      </c>
      <c r="AI33" s="6">
        <v>163312110</v>
      </c>
      <c r="AJ33" s="6">
        <v>164708718</v>
      </c>
      <c r="AK33" s="6">
        <v>163821052</v>
      </c>
      <c r="AL33" s="6">
        <v>170242282</v>
      </c>
      <c r="AM33" s="6">
        <v>192397885</v>
      </c>
      <c r="AN33" s="6">
        <v>165447971</v>
      </c>
      <c r="AO33" s="6">
        <v>174987440</v>
      </c>
      <c r="AP33" s="6">
        <v>168866816</v>
      </c>
      <c r="AQ33" s="33">
        <f t="shared" si="20"/>
        <v>4.556731257466951</v>
      </c>
      <c r="AR33" s="33">
        <f t="shared" si="1"/>
        <v>3.6743826604462253</v>
      </c>
      <c r="AS33" s="33">
        <f t="shared" si="2"/>
        <v>3.7961464371823785</v>
      </c>
      <c r="AT33" s="33">
        <f t="shared" si="3"/>
        <v>4.3612644571472874</v>
      </c>
      <c r="AU33" s="33">
        <f t="shared" si="4"/>
        <v>6.7927439619321195</v>
      </c>
      <c r="AV33" s="33">
        <f t="shared" si="5"/>
        <v>6.5235546396881148</v>
      </c>
      <c r="AW33" s="33">
        <f t="shared" si="6"/>
        <v>4.1556829391525181</v>
      </c>
      <c r="AX33" s="33">
        <f t="shared" si="7"/>
        <v>5.0680255370903273</v>
      </c>
      <c r="AY33" s="33">
        <f t="shared" si="8"/>
        <v>6.67192925769311</v>
      </c>
      <c r="AZ33" s="33">
        <f t="shared" si="9"/>
        <v>6.5762864748290752</v>
      </c>
      <c r="BA33" s="33">
        <f t="shared" si="10"/>
        <v>6.5188703657416731</v>
      </c>
      <c r="BB33" s="33">
        <f t="shared" si="11"/>
        <v>6.7161963772769342</v>
      </c>
      <c r="BC33" s="33">
        <f t="shared" si="12"/>
        <v>7.7034468145587276</v>
      </c>
      <c r="BD33" s="33">
        <f t="shared" si="13"/>
        <v>7.6032912302693711</v>
      </c>
      <c r="BE33" s="33">
        <f t="shared" si="14"/>
        <v>6.2752200713341919</v>
      </c>
      <c r="BF33" s="33">
        <f t="shared" si="15"/>
        <v>5.7665804516861412</v>
      </c>
      <c r="BG33" s="33">
        <f t="shared" si="16"/>
        <v>13.626975497404558</v>
      </c>
      <c r="BH33" s="33">
        <f t="shared" si="17"/>
        <v>8.4401217982310115</v>
      </c>
      <c r="BI33" s="33">
        <f t="shared" si="18"/>
        <v>7.7376943433285259</v>
      </c>
      <c r="BJ33" s="33">
        <f t="shared" si="19"/>
        <v>7.9216990931812639</v>
      </c>
    </row>
    <row r="34" spans="1:62" x14ac:dyDescent="0.2">
      <c r="C34" s="8"/>
      <c r="D34" s="8"/>
      <c r="E34" s="8"/>
      <c r="F34" s="3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39">
        <f>AVERAGE(AQ4:AQ33)</f>
        <v>3.9597170836629494</v>
      </c>
      <c r="AR34" s="39">
        <f t="shared" ref="AR34:BF34" si="21">AVERAGE(AR4:AR33)</f>
        <v>3.7868604314271845</v>
      </c>
      <c r="AS34" s="39">
        <f t="shared" si="21"/>
        <v>3.9486715210817374</v>
      </c>
      <c r="AT34" s="39">
        <f t="shared" si="21"/>
        <v>4.2115388780966709</v>
      </c>
      <c r="AU34" s="39">
        <f t="shared" si="21"/>
        <v>3.9900104993815089</v>
      </c>
      <c r="AV34" s="39">
        <f t="shared" si="21"/>
        <v>4.5210963697464015</v>
      </c>
      <c r="AW34" s="39">
        <f t="shared" si="21"/>
        <v>3.755375613835608</v>
      </c>
      <c r="AX34" s="39">
        <f t="shared" si="21"/>
        <v>4.2140673325911253</v>
      </c>
      <c r="AY34" s="39">
        <f t="shared" si="21"/>
        <v>3.6255655012208967</v>
      </c>
      <c r="AZ34" s="39">
        <f t="shared" si="21"/>
        <v>3.6677086433263044</v>
      </c>
      <c r="BA34" s="39">
        <f t="shared" si="21"/>
        <v>3.8733227857603443</v>
      </c>
      <c r="BB34" s="39">
        <f t="shared" si="21"/>
        <v>4.1642942840980108</v>
      </c>
      <c r="BC34" s="39">
        <f t="shared" si="21"/>
        <v>3.9534463541332778</v>
      </c>
      <c r="BD34" s="39">
        <f t="shared" si="21"/>
        <v>4.025490521791415</v>
      </c>
      <c r="BE34" s="39">
        <f t="shared" si="21"/>
        <v>4.2307952972816922</v>
      </c>
      <c r="BF34" s="39">
        <f t="shared" si="21"/>
        <v>3.8172698985875146</v>
      </c>
      <c r="BG34" s="39">
        <f t="shared" ref="BG34:BJ34" si="22">AVERAGE(BG4:BG33)</f>
        <v>4.6558632844070909</v>
      </c>
      <c r="BH34" s="39">
        <f t="shared" si="22"/>
        <v>8.3827389782947357</v>
      </c>
      <c r="BI34" s="39">
        <f t="shared" si="22"/>
        <v>3.2223133371724191</v>
      </c>
      <c r="BJ34" s="39">
        <f t="shared" si="22"/>
        <v>3.8597545750884406</v>
      </c>
    </row>
  </sheetData>
  <mergeCells count="15">
    <mergeCell ref="BG2:BJ2"/>
    <mergeCell ref="AE2:AH2"/>
    <mergeCell ref="AI2:AL2"/>
    <mergeCell ref="AQ2:AT2"/>
    <mergeCell ref="AU2:AX2"/>
    <mergeCell ref="AY2:BB2"/>
    <mergeCell ref="BC2:BF2"/>
    <mergeCell ref="AM2:AP2"/>
    <mergeCell ref="AA2:AD2"/>
    <mergeCell ref="S2:V2"/>
    <mergeCell ref="C2:F2"/>
    <mergeCell ref="G2:J2"/>
    <mergeCell ref="K2:N2"/>
    <mergeCell ref="O2:R2"/>
    <mergeCell ref="W2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B116-5CC2-4146-B4AC-8C5A5509954C}">
  <dimension ref="A2:AU72"/>
  <sheetViews>
    <sheetView topLeftCell="A9" workbookViewId="0">
      <pane xSplit="2" ySplit="3" topLeftCell="AF12" activePane="bottomRight" state="frozen"/>
      <selection activeCell="A9" sqref="A9"/>
      <selection pane="topRight" activeCell="C9" sqref="C9"/>
      <selection pane="bottomLeft" activeCell="A12" sqref="A12"/>
      <selection pane="bottomRight" activeCell="AQ28" sqref="AQ28"/>
    </sheetView>
  </sheetViews>
  <sheetFormatPr baseColWidth="10" defaultRowHeight="16" x14ac:dyDescent="0.2"/>
  <cols>
    <col min="2" max="2" width="44.5" customWidth="1"/>
    <col min="3" max="11" width="15" customWidth="1"/>
    <col min="12" max="18" width="15.33203125" customWidth="1"/>
    <col min="19" max="45" width="14" customWidth="1"/>
    <col min="46" max="47" width="14" bestFit="1" customWidth="1"/>
  </cols>
  <sheetData>
    <row r="2" spans="1:47" hidden="1" x14ac:dyDescent="0.2">
      <c r="A2" s="2"/>
      <c r="B2" s="8" t="s">
        <v>89</v>
      </c>
      <c r="C2" s="8"/>
      <c r="D2" s="8"/>
      <c r="E2" s="8"/>
      <c r="F2" s="8"/>
      <c r="G2" s="8"/>
      <c r="H2" s="8"/>
      <c r="I2" s="8"/>
      <c r="J2" s="8"/>
      <c r="K2" s="8">
        <v>2021</v>
      </c>
      <c r="L2" s="8">
        <v>2020</v>
      </c>
      <c r="M2" s="8" t="s">
        <v>178</v>
      </c>
      <c r="N2" s="8" t="s">
        <v>179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47" hidden="1" x14ac:dyDescent="0.2">
      <c r="B3" s="1" t="s">
        <v>177</v>
      </c>
      <c r="C3" s="1"/>
      <c r="D3" s="1"/>
      <c r="E3" s="1"/>
      <c r="F3" s="1"/>
      <c r="G3" s="1"/>
      <c r="H3" s="1"/>
      <c r="I3" s="1"/>
      <c r="J3" s="1"/>
      <c r="K3" s="6">
        <v>2873744965</v>
      </c>
      <c r="L3" s="6">
        <v>2992073868</v>
      </c>
      <c r="M3" s="6">
        <v>606910250</v>
      </c>
      <c r="N3" s="6">
        <v>816520432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7" hidden="1" x14ac:dyDescent="0.2">
      <c r="B4" s="1" t="s">
        <v>180</v>
      </c>
      <c r="C4" s="1"/>
      <c r="D4" s="1"/>
      <c r="E4" s="1"/>
      <c r="F4" s="1"/>
      <c r="G4" s="1"/>
      <c r="H4" s="1"/>
      <c r="I4" s="1"/>
      <c r="J4" s="1"/>
      <c r="K4" s="6">
        <v>1533890318</v>
      </c>
      <c r="L4" s="6">
        <v>1997381141</v>
      </c>
      <c r="M4" s="6">
        <v>277072464</v>
      </c>
      <c r="N4" s="6">
        <v>347793389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7" hidden="1" x14ac:dyDescent="0.2">
      <c r="B5" s="1" t="s">
        <v>181</v>
      </c>
      <c r="C5" s="1"/>
      <c r="D5" s="1"/>
      <c r="E5" s="1"/>
      <c r="F5" s="1"/>
      <c r="G5" s="1"/>
      <c r="H5" s="1"/>
      <c r="I5" s="1"/>
      <c r="J5" s="1"/>
      <c r="K5" s="6">
        <v>4308882532</v>
      </c>
      <c r="L5" s="6">
        <v>4607103534</v>
      </c>
      <c r="M5" s="6">
        <v>241215316</v>
      </c>
      <c r="N5" s="6">
        <v>282869588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7" hidden="1" x14ac:dyDescent="0.2">
      <c r="B6" s="1" t="s">
        <v>531</v>
      </c>
      <c r="C6" s="1"/>
      <c r="D6" s="1"/>
      <c r="E6" s="1"/>
      <c r="F6" s="1"/>
      <c r="G6" s="1"/>
      <c r="H6" s="1"/>
      <c r="I6" s="1"/>
      <c r="J6" s="1"/>
      <c r="K6" s="30">
        <f>SUM(K3:K5)</f>
        <v>8716517815</v>
      </c>
      <c r="L6" s="30">
        <f>SUM(L3:L5)</f>
        <v>9596558543</v>
      </c>
      <c r="M6" s="30">
        <f>SUM(M3:M5)</f>
        <v>1125198030</v>
      </c>
      <c r="N6" s="30">
        <f>SUM(N3:N5)</f>
        <v>1447183409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7" x14ac:dyDescent="0.2"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x14ac:dyDescent="0.2"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ht="17" thickBot="1" x14ac:dyDescent="0.25"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x14ac:dyDescent="0.2">
      <c r="C10" s="58">
        <v>2023</v>
      </c>
      <c r="D10" s="59"/>
      <c r="E10" s="59"/>
      <c r="F10" s="59"/>
      <c r="G10" s="58">
        <v>2022</v>
      </c>
      <c r="H10" s="59"/>
      <c r="I10" s="59"/>
      <c r="J10" s="59"/>
      <c r="K10" s="58">
        <v>2021</v>
      </c>
      <c r="L10" s="59"/>
      <c r="M10" s="59"/>
      <c r="N10" s="59"/>
      <c r="O10" s="60">
        <v>2020</v>
      </c>
      <c r="P10" s="60"/>
      <c r="Q10" s="60"/>
      <c r="R10" s="60"/>
      <c r="S10" s="57">
        <v>2019</v>
      </c>
      <c r="T10" s="57"/>
      <c r="U10" s="57"/>
      <c r="V10" s="57"/>
      <c r="W10" s="59" t="s">
        <v>688</v>
      </c>
      <c r="X10" s="59"/>
      <c r="Y10" s="59"/>
      <c r="Z10" s="59"/>
      <c r="AA10" s="59" t="s">
        <v>689</v>
      </c>
      <c r="AB10" s="59"/>
      <c r="AC10" s="59"/>
      <c r="AD10" s="59"/>
      <c r="AE10" s="59" t="s">
        <v>178</v>
      </c>
      <c r="AF10" s="59"/>
      <c r="AG10" s="59"/>
      <c r="AH10" s="59"/>
      <c r="AI10" s="60" t="s">
        <v>179</v>
      </c>
      <c r="AJ10" s="60"/>
      <c r="AK10" s="60"/>
      <c r="AL10" s="60"/>
      <c r="AM10" s="57" t="s">
        <v>625</v>
      </c>
      <c r="AN10" s="57"/>
      <c r="AO10" s="57"/>
      <c r="AP10" s="57"/>
      <c r="AQ10" s="8"/>
      <c r="AR10" s="8"/>
      <c r="AS10" s="8"/>
      <c r="AT10" s="6"/>
      <c r="AU10" s="6"/>
    </row>
    <row r="11" spans="1:47" ht="17" thickBot="1" x14ac:dyDescent="0.25">
      <c r="B11" s="8" t="s">
        <v>13</v>
      </c>
      <c r="C11" s="35" t="s">
        <v>93</v>
      </c>
      <c r="D11" s="36" t="s">
        <v>96</v>
      </c>
      <c r="E11" s="36" t="s">
        <v>554</v>
      </c>
      <c r="F11" s="36" t="s">
        <v>102</v>
      </c>
      <c r="G11" s="35" t="s">
        <v>93</v>
      </c>
      <c r="H11" s="36" t="s">
        <v>96</v>
      </c>
      <c r="I11" s="36" t="s">
        <v>554</v>
      </c>
      <c r="J11" s="36" t="s">
        <v>102</v>
      </c>
      <c r="K11" s="35" t="s">
        <v>93</v>
      </c>
      <c r="L11" s="36" t="s">
        <v>96</v>
      </c>
      <c r="M11" s="36" t="s">
        <v>554</v>
      </c>
      <c r="N11" s="36" t="s">
        <v>102</v>
      </c>
      <c r="O11" s="36" t="s">
        <v>93</v>
      </c>
      <c r="P11" s="36" t="s">
        <v>96</v>
      </c>
      <c r="Q11" s="36" t="s">
        <v>554</v>
      </c>
      <c r="R11" s="36" t="s">
        <v>102</v>
      </c>
      <c r="S11" s="36" t="s">
        <v>93</v>
      </c>
      <c r="T11" s="36" t="s">
        <v>96</v>
      </c>
      <c r="U11" s="36" t="s">
        <v>554</v>
      </c>
      <c r="V11" s="36" t="s">
        <v>102</v>
      </c>
      <c r="W11" s="36" t="s">
        <v>93</v>
      </c>
      <c r="X11" s="36" t="s">
        <v>96</v>
      </c>
      <c r="Y11" s="36" t="s">
        <v>554</v>
      </c>
      <c r="Z11" s="36" t="s">
        <v>102</v>
      </c>
      <c r="AA11" s="36" t="s">
        <v>93</v>
      </c>
      <c r="AB11" s="36" t="s">
        <v>96</v>
      </c>
      <c r="AC11" s="36" t="s">
        <v>554</v>
      </c>
      <c r="AD11" s="36" t="s">
        <v>102</v>
      </c>
      <c r="AE11" s="36" t="s">
        <v>93</v>
      </c>
      <c r="AF11" s="36" t="s">
        <v>96</v>
      </c>
      <c r="AG11" s="36" t="s">
        <v>554</v>
      </c>
      <c r="AH11" s="36" t="s">
        <v>102</v>
      </c>
      <c r="AI11" s="36" t="s">
        <v>93</v>
      </c>
      <c r="AJ11" s="36" t="s">
        <v>96</v>
      </c>
      <c r="AK11" s="36" t="s">
        <v>554</v>
      </c>
      <c r="AL11" s="36" t="s">
        <v>102</v>
      </c>
      <c r="AM11" s="36" t="s">
        <v>93</v>
      </c>
      <c r="AN11" s="36" t="s">
        <v>96</v>
      </c>
      <c r="AO11" s="36" t="s">
        <v>554</v>
      </c>
      <c r="AP11" s="36" t="s">
        <v>102</v>
      </c>
      <c r="AQ11" s="8"/>
      <c r="AR11" s="8"/>
      <c r="AS11" s="8"/>
      <c r="AT11" s="8"/>
      <c r="AU11" s="8"/>
    </row>
    <row r="12" spans="1:47" x14ac:dyDescent="0.2">
      <c r="B12" s="31" t="s">
        <v>532</v>
      </c>
      <c r="C12" s="6">
        <v>6024707</v>
      </c>
      <c r="D12" s="6">
        <v>7760273</v>
      </c>
      <c r="E12" s="6">
        <v>9318373</v>
      </c>
      <c r="F12" s="6">
        <v>5615252</v>
      </c>
      <c r="G12" s="6">
        <v>11759022</v>
      </c>
      <c r="H12" s="6">
        <v>9789005</v>
      </c>
      <c r="I12" s="6">
        <v>8065843</v>
      </c>
      <c r="J12" s="6">
        <v>4752659</v>
      </c>
      <c r="K12" s="6">
        <v>10225503</v>
      </c>
      <c r="L12" s="6">
        <v>11508394</v>
      </c>
      <c r="M12" s="6">
        <v>12519129</v>
      </c>
      <c r="N12" s="6">
        <v>11605371</v>
      </c>
      <c r="O12" s="6">
        <v>6301674</v>
      </c>
      <c r="P12" s="6">
        <v>5968087</v>
      </c>
      <c r="Q12" s="6">
        <v>9959745</v>
      </c>
      <c r="R12" s="6">
        <v>11973336</v>
      </c>
      <c r="S12" s="6">
        <v>8788218</v>
      </c>
      <c r="T12" s="6">
        <v>8307758</v>
      </c>
      <c r="U12" s="6">
        <v>10637452</v>
      </c>
      <c r="V12" s="6">
        <v>10521687</v>
      </c>
      <c r="W12" s="6">
        <v>953</v>
      </c>
      <c r="X12" s="6">
        <v>1331</v>
      </c>
      <c r="Y12" s="6">
        <v>839</v>
      </c>
      <c r="Z12">
        <v>899</v>
      </c>
      <c r="AA12" s="6">
        <v>452</v>
      </c>
      <c r="AB12" s="6">
        <v>542</v>
      </c>
      <c r="AC12" s="48">
        <v>1033</v>
      </c>
      <c r="AD12">
        <v>743</v>
      </c>
      <c r="AE12" s="6">
        <v>659</v>
      </c>
      <c r="AF12" s="6">
        <v>784</v>
      </c>
      <c r="AG12" s="6">
        <v>751</v>
      </c>
      <c r="AH12" s="6">
        <v>537</v>
      </c>
      <c r="AI12" s="6">
        <v>731</v>
      </c>
      <c r="AJ12" s="6">
        <v>500</v>
      </c>
      <c r="AK12" s="6">
        <v>573</v>
      </c>
      <c r="AL12" s="6">
        <v>927</v>
      </c>
      <c r="AM12" s="6">
        <v>0</v>
      </c>
      <c r="AN12" s="6">
        <v>0</v>
      </c>
      <c r="AO12" s="6">
        <v>0</v>
      </c>
      <c r="AP12" s="6">
        <v>0</v>
      </c>
      <c r="AQ12" s="6"/>
      <c r="AR12" s="6"/>
      <c r="AS12" s="6"/>
    </row>
    <row r="13" spans="1:47" x14ac:dyDescent="0.2">
      <c r="B13" s="31" t="s">
        <v>533</v>
      </c>
      <c r="C13" s="6">
        <v>38364316</v>
      </c>
      <c r="D13" s="6">
        <v>25244229</v>
      </c>
      <c r="E13" s="6">
        <v>13409146</v>
      </c>
      <c r="F13" s="6">
        <v>5202345</v>
      </c>
      <c r="G13" s="6">
        <v>62565188</v>
      </c>
      <c r="H13" s="6">
        <v>116870575</v>
      </c>
      <c r="I13" s="48">
        <v>31293962</v>
      </c>
      <c r="J13" s="6">
        <v>31382615</v>
      </c>
      <c r="K13" s="6">
        <v>37187080</v>
      </c>
      <c r="L13" s="6">
        <v>85392139</v>
      </c>
      <c r="M13" s="6">
        <v>85249282</v>
      </c>
      <c r="N13" s="6">
        <v>87153137</v>
      </c>
      <c r="O13" s="6">
        <v>38326746</v>
      </c>
      <c r="P13" s="6">
        <v>45318503</v>
      </c>
      <c r="Q13" s="6">
        <v>45631138</v>
      </c>
      <c r="R13" s="6">
        <v>47455590</v>
      </c>
      <c r="S13" s="6">
        <v>31345793</v>
      </c>
      <c r="T13" s="6">
        <v>32558446</v>
      </c>
      <c r="U13" s="6">
        <v>34361657</v>
      </c>
      <c r="V13" s="6">
        <v>30948274</v>
      </c>
      <c r="W13" s="6">
        <v>1920</v>
      </c>
      <c r="X13" s="6">
        <v>2143</v>
      </c>
      <c r="Y13" s="6">
        <v>1551</v>
      </c>
      <c r="Z13">
        <v>684</v>
      </c>
      <c r="AA13" s="6">
        <v>3412</v>
      </c>
      <c r="AB13" s="6">
        <v>1269</v>
      </c>
      <c r="AC13" s="48">
        <v>2183</v>
      </c>
      <c r="AD13" s="48">
        <v>5463</v>
      </c>
      <c r="AE13" s="6">
        <v>2383</v>
      </c>
      <c r="AF13" s="6">
        <v>4704</v>
      </c>
      <c r="AG13" s="6">
        <v>6513</v>
      </c>
      <c r="AH13" s="6">
        <v>4132</v>
      </c>
      <c r="AI13" s="6">
        <v>2550</v>
      </c>
      <c r="AJ13" s="6">
        <v>2281</v>
      </c>
      <c r="AK13" s="6">
        <v>2294</v>
      </c>
      <c r="AL13" s="6">
        <v>4700</v>
      </c>
      <c r="AM13" s="6">
        <v>0</v>
      </c>
      <c r="AN13" s="6">
        <v>0</v>
      </c>
      <c r="AO13" s="6">
        <v>0</v>
      </c>
      <c r="AP13" s="6">
        <v>0</v>
      </c>
      <c r="AQ13" s="6"/>
      <c r="AR13" s="6"/>
      <c r="AS13" s="6"/>
    </row>
    <row r="14" spans="1:47" x14ac:dyDescent="0.2">
      <c r="B14" s="31" t="s">
        <v>534</v>
      </c>
      <c r="C14" s="6">
        <v>12971032</v>
      </c>
      <c r="D14" s="6">
        <v>13239179</v>
      </c>
      <c r="E14" s="6">
        <v>13193418</v>
      </c>
      <c r="F14" s="6">
        <v>14942739</v>
      </c>
      <c r="G14" s="6">
        <v>13816958</v>
      </c>
      <c r="H14" s="6">
        <v>14596111</v>
      </c>
      <c r="I14" s="48">
        <v>15331208</v>
      </c>
      <c r="J14" s="6">
        <v>15515098</v>
      </c>
      <c r="K14" s="6">
        <f>9679875+AE14</f>
        <v>10526624</v>
      </c>
      <c r="L14" s="6">
        <f>10541048+AF14</f>
        <v>11090363</v>
      </c>
      <c r="M14" s="6">
        <f>12194473+AG14</f>
        <v>12556522</v>
      </c>
      <c r="N14" s="6">
        <f>4200885+6933309</f>
        <v>11134194</v>
      </c>
      <c r="O14" s="7">
        <f>9867435+V14</f>
        <v>19536812</v>
      </c>
      <c r="P14" s="6">
        <f>8093035+AJ14</f>
        <v>8225776</v>
      </c>
      <c r="Q14" s="6">
        <f>7872360+AK14</f>
        <v>7974898</v>
      </c>
      <c r="R14" s="6">
        <f>3181026+5372949</f>
        <v>8553975</v>
      </c>
      <c r="S14" s="6">
        <f>10406217+AM14</f>
        <v>10814986</v>
      </c>
      <c r="T14" s="6">
        <f>11132774+AN14</f>
        <v>11675548</v>
      </c>
      <c r="U14" s="6">
        <f>10737623+AO14</f>
        <v>10948537</v>
      </c>
      <c r="V14" s="6">
        <f>9492755+AP14</f>
        <v>9669377</v>
      </c>
      <c r="W14" s="6">
        <v>291443</v>
      </c>
      <c r="X14" s="6">
        <v>313739</v>
      </c>
      <c r="Y14" s="6">
        <v>270010</v>
      </c>
      <c r="Z14" s="48">
        <v>283115</v>
      </c>
      <c r="AA14" s="6">
        <v>222491</v>
      </c>
      <c r="AB14" s="6">
        <v>283261</v>
      </c>
      <c r="AC14" s="48">
        <v>311039</v>
      </c>
      <c r="AD14" s="48">
        <v>315457</v>
      </c>
      <c r="AE14" s="6">
        <v>846749</v>
      </c>
      <c r="AF14" s="6">
        <v>549315</v>
      </c>
      <c r="AG14" s="6">
        <v>362049</v>
      </c>
      <c r="AH14" s="6">
        <f>193164+326120</f>
        <v>519284</v>
      </c>
      <c r="AI14" s="6">
        <v>211377</v>
      </c>
      <c r="AJ14" s="6">
        <v>132741</v>
      </c>
      <c r="AK14" s="6">
        <v>102538</v>
      </c>
      <c r="AL14" s="6">
        <f>140042+269090</f>
        <v>409132</v>
      </c>
      <c r="AM14" s="6">
        <v>408769</v>
      </c>
      <c r="AN14" s="6">
        <v>542774</v>
      </c>
      <c r="AO14" s="6">
        <v>210914</v>
      </c>
      <c r="AP14" s="6">
        <v>176622</v>
      </c>
      <c r="AQ14" s="6"/>
      <c r="AR14" s="6"/>
      <c r="AS14" s="6"/>
    </row>
    <row r="15" spans="1:47" x14ac:dyDescent="0.2">
      <c r="B15" s="31" t="s">
        <v>535</v>
      </c>
      <c r="C15" s="6">
        <v>4721023</v>
      </c>
      <c r="D15" s="6">
        <v>4940555</v>
      </c>
      <c r="E15" s="6">
        <v>5250662</v>
      </c>
      <c r="F15" s="6">
        <v>10388040</v>
      </c>
      <c r="G15" s="6">
        <v>6025054</v>
      </c>
      <c r="H15" s="6">
        <v>5632423</v>
      </c>
      <c r="I15" s="48">
        <v>7953634</v>
      </c>
      <c r="J15" s="6">
        <v>5903042</v>
      </c>
      <c r="K15" s="6">
        <f>7362798+AE15</f>
        <v>7383464</v>
      </c>
      <c r="L15" s="6">
        <f>6099275+AF15</f>
        <v>6111568</v>
      </c>
      <c r="M15" s="6">
        <f>6368474+AG15</f>
        <v>6402971</v>
      </c>
      <c r="N15" s="6">
        <f>4842531+1516102</f>
        <v>6358633</v>
      </c>
      <c r="O15" s="7">
        <f>7915769+AI15</f>
        <v>7919338</v>
      </c>
      <c r="P15" s="6">
        <f>7345964+AJ15</f>
        <v>7348873</v>
      </c>
      <c r="Q15" s="6">
        <f>7173038+AK15</f>
        <v>7175407</v>
      </c>
      <c r="R15" s="6">
        <f>6118820+1980205</f>
        <v>8099025</v>
      </c>
      <c r="S15" s="6">
        <f>8543331+AM15</f>
        <v>8551257</v>
      </c>
      <c r="T15" s="6">
        <f>7841166+AN15</f>
        <v>7850204</v>
      </c>
      <c r="U15" s="6">
        <f>6275865+AO15</f>
        <v>6279318</v>
      </c>
      <c r="V15" s="6">
        <f>7909020+AP15</f>
        <v>7911754</v>
      </c>
      <c r="W15" s="6">
        <v>1247</v>
      </c>
      <c r="X15" s="6">
        <v>2987</v>
      </c>
      <c r="Y15" s="6">
        <v>1830</v>
      </c>
      <c r="Z15" s="48">
        <v>4516</v>
      </c>
      <c r="AA15" s="6">
        <v>40612</v>
      </c>
      <c r="AB15" s="6">
        <v>58491</v>
      </c>
      <c r="AC15" s="48">
        <v>26261</v>
      </c>
      <c r="AD15" s="48">
        <v>7135</v>
      </c>
      <c r="AE15" s="6">
        <v>20666</v>
      </c>
      <c r="AF15" s="6">
        <v>12293</v>
      </c>
      <c r="AG15" s="6">
        <v>34497</v>
      </c>
      <c r="AH15" s="6">
        <v>46661</v>
      </c>
      <c r="AI15" s="6">
        <v>3569</v>
      </c>
      <c r="AJ15" s="6">
        <v>2909</v>
      </c>
      <c r="AK15" s="6">
        <v>2369</v>
      </c>
      <c r="AL15" s="6">
        <v>8012</v>
      </c>
      <c r="AM15" s="6">
        <v>7926</v>
      </c>
      <c r="AN15" s="6">
        <v>9038</v>
      </c>
      <c r="AO15" s="6">
        <v>3453</v>
      </c>
      <c r="AP15" s="6">
        <v>2734</v>
      </c>
      <c r="AQ15" s="6"/>
      <c r="AR15" s="6"/>
      <c r="AS15" s="6"/>
    </row>
    <row r="16" spans="1:47" x14ac:dyDescent="0.2">
      <c r="B16" s="31" t="s">
        <v>536</v>
      </c>
      <c r="C16" s="6">
        <v>697173146</v>
      </c>
      <c r="D16" s="6">
        <v>718989019</v>
      </c>
      <c r="E16" s="6">
        <v>748259425</v>
      </c>
      <c r="F16" s="6">
        <v>792196714</v>
      </c>
      <c r="G16" s="6">
        <v>621141984</v>
      </c>
      <c r="H16" s="6">
        <v>658878375</v>
      </c>
      <c r="I16" s="6">
        <v>665602968</v>
      </c>
      <c r="J16" s="6">
        <v>694936522</v>
      </c>
      <c r="K16" s="6">
        <v>572735403</v>
      </c>
      <c r="L16" s="6">
        <v>578781801</v>
      </c>
      <c r="M16" s="6">
        <v>591608660</v>
      </c>
      <c r="N16" s="6">
        <v>622013305</v>
      </c>
      <c r="O16" s="6">
        <v>596409652</v>
      </c>
      <c r="P16" s="6">
        <v>580987188</v>
      </c>
      <c r="Q16" s="6">
        <v>568132884</v>
      </c>
      <c r="R16" s="6">
        <v>574589608</v>
      </c>
      <c r="S16" s="6">
        <v>532255485</v>
      </c>
      <c r="T16" s="6">
        <v>551922126</v>
      </c>
      <c r="U16" s="6">
        <v>571090244</v>
      </c>
      <c r="V16" s="6">
        <v>586939583</v>
      </c>
      <c r="W16" s="6">
        <v>34847849</v>
      </c>
      <c r="X16" s="6">
        <v>34710342</v>
      </c>
      <c r="Y16" s="6">
        <v>34531354</v>
      </c>
      <c r="Z16" s="48">
        <v>33308875</v>
      </c>
      <c r="AA16" s="6">
        <v>34948879</v>
      </c>
      <c r="AB16" s="6">
        <v>35752588</v>
      </c>
      <c r="AC16" s="48">
        <v>35537186</v>
      </c>
      <c r="AD16" s="48">
        <v>33947518</v>
      </c>
      <c r="AE16" s="6">
        <v>29505260</v>
      </c>
      <c r="AF16" s="6">
        <v>31932732</v>
      </c>
      <c r="AG16" s="6">
        <v>32151394</v>
      </c>
      <c r="AH16" s="6">
        <v>32199727</v>
      </c>
      <c r="AI16" s="6">
        <v>22045913</v>
      </c>
      <c r="AJ16" s="6">
        <v>24818744</v>
      </c>
      <c r="AK16" s="6">
        <v>26809573</v>
      </c>
      <c r="AL16" s="6">
        <v>26945942</v>
      </c>
      <c r="AM16" s="6">
        <v>13448901</v>
      </c>
      <c r="AN16" s="6">
        <v>14271517</v>
      </c>
      <c r="AO16" s="6">
        <v>15144360</v>
      </c>
      <c r="AP16" s="6">
        <v>14905584</v>
      </c>
      <c r="AQ16" s="6"/>
      <c r="AR16" s="6"/>
      <c r="AS16" s="6"/>
    </row>
    <row r="17" spans="1:47" x14ac:dyDescent="0.2">
      <c r="B17" s="31" t="s">
        <v>537</v>
      </c>
      <c r="C17" s="6">
        <v>8788627</v>
      </c>
      <c r="D17" s="6">
        <v>8927526</v>
      </c>
      <c r="E17" s="6">
        <v>9782245</v>
      </c>
      <c r="F17" s="6">
        <v>9041396</v>
      </c>
      <c r="G17" s="6">
        <v>9252495</v>
      </c>
      <c r="H17" s="6">
        <v>9317692</v>
      </c>
      <c r="I17" s="6">
        <v>8868138</v>
      </c>
      <c r="J17" s="6">
        <v>8625656</v>
      </c>
      <c r="K17" s="6">
        <f>7420803+AE17</f>
        <v>8244310</v>
      </c>
      <c r="L17" s="6">
        <v>8806519</v>
      </c>
      <c r="M17" s="6">
        <v>8324181</v>
      </c>
      <c r="N17" s="6">
        <v>8640233</v>
      </c>
      <c r="O17" s="6">
        <v>9924349</v>
      </c>
      <c r="P17" s="6">
        <v>8306173</v>
      </c>
      <c r="Q17" s="6">
        <v>8141121</v>
      </c>
      <c r="R17" s="6">
        <v>8412240</v>
      </c>
      <c r="S17" s="6">
        <v>7730232</v>
      </c>
      <c r="T17" s="6">
        <v>8237365</v>
      </c>
      <c r="U17" s="6">
        <v>9201323</v>
      </c>
      <c r="V17" s="6">
        <v>11005521</v>
      </c>
      <c r="W17" s="6">
        <v>425816</v>
      </c>
      <c r="X17" s="6">
        <v>357192</v>
      </c>
      <c r="Y17" s="6">
        <v>349522</v>
      </c>
      <c r="Z17" s="48">
        <v>327946</v>
      </c>
      <c r="AA17" s="6">
        <v>788487</v>
      </c>
      <c r="AB17" s="6">
        <v>753850</v>
      </c>
      <c r="AC17" s="48">
        <v>705841</v>
      </c>
      <c r="AD17" s="48">
        <v>410229</v>
      </c>
      <c r="AE17" s="6">
        <v>823507</v>
      </c>
      <c r="AF17" s="6">
        <v>817560</v>
      </c>
      <c r="AG17" s="6">
        <v>787189</v>
      </c>
      <c r="AH17" s="6">
        <v>784257</v>
      </c>
      <c r="AI17" s="6">
        <v>470285</v>
      </c>
      <c r="AJ17" s="6">
        <v>910739</v>
      </c>
      <c r="AK17" s="6">
        <v>904758</v>
      </c>
      <c r="AL17" s="6">
        <v>806306</v>
      </c>
      <c r="AM17" s="6">
        <v>395360</v>
      </c>
      <c r="AN17" s="6">
        <v>433489</v>
      </c>
      <c r="AO17" s="6">
        <v>494594</v>
      </c>
      <c r="AP17" s="6">
        <v>473097</v>
      </c>
      <c r="AQ17" s="6"/>
      <c r="AR17" s="6"/>
      <c r="AS17" s="6"/>
    </row>
    <row r="18" spans="1:47" s="1" customFormat="1" x14ac:dyDescent="0.2">
      <c r="B18" s="31" t="s">
        <v>531</v>
      </c>
      <c r="C18" s="30">
        <f>SUM(C12:C17)</f>
        <v>768042851</v>
      </c>
      <c r="D18" s="30">
        <f t="shared" ref="D18:E18" si="0">SUM(D12:D17)</f>
        <v>779100781</v>
      </c>
      <c r="E18" s="30">
        <f t="shared" si="0"/>
        <v>799213269</v>
      </c>
      <c r="F18" s="30">
        <f>SUM(F12:F17)</f>
        <v>837386486</v>
      </c>
      <c r="G18" s="30">
        <f>SUM(G12:G17)</f>
        <v>724560701</v>
      </c>
      <c r="H18" s="30">
        <f t="shared" ref="H18:I18" si="1">SUM(H12:H17)</f>
        <v>815084181</v>
      </c>
      <c r="I18" s="30">
        <f t="shared" si="1"/>
        <v>737115753</v>
      </c>
      <c r="J18" s="30">
        <f>SUM(J12:J17)</f>
        <v>761115592</v>
      </c>
      <c r="K18" s="30">
        <f>SUM(K12:K17)</f>
        <v>646302384</v>
      </c>
      <c r="L18" s="30">
        <f t="shared" ref="L18:M18" si="2">SUM(L12:L17)</f>
        <v>701690784</v>
      </c>
      <c r="M18" s="30">
        <f t="shared" si="2"/>
        <v>716660745</v>
      </c>
      <c r="N18" s="30">
        <f>SUM(N12:N17)</f>
        <v>746904873</v>
      </c>
      <c r="O18" s="30">
        <f t="shared" ref="O18:AP18" si="3">SUM(O12:O17)</f>
        <v>678418571</v>
      </c>
      <c r="P18" s="30">
        <f t="shared" si="3"/>
        <v>656154600</v>
      </c>
      <c r="Q18" s="30">
        <f t="shared" si="3"/>
        <v>647015193</v>
      </c>
      <c r="R18" s="30">
        <f t="shared" si="3"/>
        <v>659083774</v>
      </c>
      <c r="S18" s="30">
        <f t="shared" si="3"/>
        <v>599485971</v>
      </c>
      <c r="T18" s="30">
        <f t="shared" si="3"/>
        <v>620551447</v>
      </c>
      <c r="U18" s="30">
        <f t="shared" si="3"/>
        <v>642518531</v>
      </c>
      <c r="V18" s="30">
        <f t="shared" si="3"/>
        <v>656996196</v>
      </c>
      <c r="W18" s="30">
        <f t="shared" si="3"/>
        <v>35569228</v>
      </c>
      <c r="X18" s="30">
        <f t="shared" si="3"/>
        <v>35387734</v>
      </c>
      <c r="Y18" s="30">
        <f t="shared" si="3"/>
        <v>35155106</v>
      </c>
      <c r="Z18" s="30">
        <f t="shared" si="3"/>
        <v>33926035</v>
      </c>
      <c r="AA18" s="30">
        <f t="shared" si="3"/>
        <v>36004333</v>
      </c>
      <c r="AB18" s="30">
        <f t="shared" si="3"/>
        <v>36850001</v>
      </c>
      <c r="AC18" s="30">
        <f t="shared" si="3"/>
        <v>36583543</v>
      </c>
      <c r="AD18" s="30">
        <f t="shared" si="3"/>
        <v>34686545</v>
      </c>
      <c r="AE18" s="30">
        <f t="shared" si="3"/>
        <v>31199224</v>
      </c>
      <c r="AF18" s="30">
        <f t="shared" si="3"/>
        <v>33317388</v>
      </c>
      <c r="AG18" s="30">
        <f t="shared" si="3"/>
        <v>33342393</v>
      </c>
      <c r="AH18" s="30">
        <f t="shared" si="3"/>
        <v>33554598</v>
      </c>
      <c r="AI18" s="30">
        <f t="shared" si="3"/>
        <v>22734425</v>
      </c>
      <c r="AJ18" s="30">
        <f t="shared" si="3"/>
        <v>25867914</v>
      </c>
      <c r="AK18" s="30">
        <f t="shared" si="3"/>
        <v>27822105</v>
      </c>
      <c r="AL18" s="30">
        <f t="shared" si="3"/>
        <v>28175019</v>
      </c>
      <c r="AM18" s="30">
        <f t="shared" si="3"/>
        <v>14260956</v>
      </c>
      <c r="AN18" s="30">
        <f t="shared" si="3"/>
        <v>15256818</v>
      </c>
      <c r="AO18" s="30">
        <f t="shared" si="3"/>
        <v>15853321</v>
      </c>
      <c r="AP18" s="30">
        <f t="shared" si="3"/>
        <v>15558037</v>
      </c>
      <c r="AQ18" s="30"/>
      <c r="AR18" s="30"/>
      <c r="AS18" s="30"/>
    </row>
    <row r="19" spans="1:47" x14ac:dyDescent="0.2"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x14ac:dyDescent="0.2"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7" thickBot="1" x14ac:dyDescent="0.25"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x14ac:dyDescent="0.2">
      <c r="B22" s="8"/>
      <c r="C22" s="58">
        <v>2023</v>
      </c>
      <c r="D22" s="59"/>
      <c r="E22" s="59"/>
      <c r="F22" s="59"/>
      <c r="G22" s="58">
        <v>2022</v>
      </c>
      <c r="H22" s="59"/>
      <c r="I22" s="59"/>
      <c r="J22" s="59"/>
      <c r="K22" s="58">
        <v>2021</v>
      </c>
      <c r="L22" s="59"/>
      <c r="M22" s="59"/>
      <c r="N22" s="59"/>
      <c r="O22" s="60">
        <v>2020</v>
      </c>
      <c r="P22" s="60"/>
      <c r="Q22" s="60"/>
      <c r="R22" s="60"/>
      <c r="S22" s="57">
        <v>2019</v>
      </c>
      <c r="T22" s="57"/>
      <c r="U22" s="57"/>
      <c r="V22" s="57"/>
      <c r="W22" s="59" t="s">
        <v>688</v>
      </c>
      <c r="X22" s="59"/>
      <c r="Y22" s="59"/>
      <c r="Z22" s="59"/>
      <c r="AA22" s="59" t="s">
        <v>689</v>
      </c>
      <c r="AB22" s="59"/>
      <c r="AC22" s="59"/>
      <c r="AD22" s="59"/>
      <c r="AE22" s="59" t="s">
        <v>178</v>
      </c>
      <c r="AF22" s="59"/>
      <c r="AG22" s="59"/>
      <c r="AH22" s="59"/>
      <c r="AI22" s="60" t="s">
        <v>179</v>
      </c>
      <c r="AJ22" s="60"/>
      <c r="AK22" s="60"/>
      <c r="AL22" s="60"/>
      <c r="AM22" s="57" t="s">
        <v>625</v>
      </c>
      <c r="AN22" s="57"/>
      <c r="AO22" s="57"/>
      <c r="AP22" s="57"/>
      <c r="AQ22" s="6"/>
      <c r="AR22" s="6"/>
      <c r="AS22" s="6"/>
      <c r="AT22" s="6"/>
      <c r="AU22" s="6"/>
    </row>
    <row r="23" spans="1:47" ht="17" thickBot="1" x14ac:dyDescent="0.25">
      <c r="B23" s="8" t="s">
        <v>15</v>
      </c>
      <c r="C23" s="35" t="s">
        <v>93</v>
      </c>
      <c r="D23" s="36" t="s">
        <v>96</v>
      </c>
      <c r="E23" s="36" t="s">
        <v>554</v>
      </c>
      <c r="F23" s="36" t="s">
        <v>102</v>
      </c>
      <c r="G23" s="35" t="s">
        <v>93</v>
      </c>
      <c r="H23" s="36" t="s">
        <v>96</v>
      </c>
      <c r="I23" s="36" t="s">
        <v>554</v>
      </c>
      <c r="J23" s="36" t="s">
        <v>102</v>
      </c>
      <c r="K23" s="35" t="s">
        <v>93</v>
      </c>
      <c r="L23" s="36" t="s">
        <v>96</v>
      </c>
      <c r="M23" s="36" t="s">
        <v>554</v>
      </c>
      <c r="N23" s="36" t="s">
        <v>102</v>
      </c>
      <c r="O23" s="36" t="s">
        <v>93</v>
      </c>
      <c r="P23" s="36" t="s">
        <v>96</v>
      </c>
      <c r="Q23" s="36" t="s">
        <v>554</v>
      </c>
      <c r="R23" s="36" t="s">
        <v>102</v>
      </c>
      <c r="S23" s="36" t="s">
        <v>93</v>
      </c>
      <c r="T23" s="36" t="s">
        <v>96</v>
      </c>
      <c r="U23" s="36" t="s">
        <v>554</v>
      </c>
      <c r="V23" s="36" t="s">
        <v>102</v>
      </c>
      <c r="W23" s="36" t="s">
        <v>93</v>
      </c>
      <c r="X23" s="36" t="s">
        <v>96</v>
      </c>
      <c r="Y23" s="36" t="s">
        <v>554</v>
      </c>
      <c r="Z23" s="36" t="s">
        <v>102</v>
      </c>
      <c r="AA23" s="36" t="s">
        <v>93</v>
      </c>
      <c r="AB23" s="36" t="s">
        <v>96</v>
      </c>
      <c r="AC23" s="36" t="s">
        <v>554</v>
      </c>
      <c r="AD23" s="36" t="s">
        <v>102</v>
      </c>
      <c r="AE23" s="36" t="s">
        <v>93</v>
      </c>
      <c r="AF23" s="36" t="s">
        <v>96</v>
      </c>
      <c r="AG23" s="36" t="s">
        <v>554</v>
      </c>
      <c r="AH23" s="36" t="s">
        <v>102</v>
      </c>
      <c r="AI23" s="36" t="s">
        <v>93</v>
      </c>
      <c r="AJ23" s="36" t="s">
        <v>96</v>
      </c>
      <c r="AK23" s="36" t="s">
        <v>554</v>
      </c>
      <c r="AL23" s="36" t="s">
        <v>102</v>
      </c>
      <c r="AM23" s="36" t="s">
        <v>93</v>
      </c>
      <c r="AN23" s="36" t="s">
        <v>96</v>
      </c>
      <c r="AO23" s="36" t="s">
        <v>554</v>
      </c>
      <c r="AP23" s="36" t="s">
        <v>102</v>
      </c>
      <c r="AQ23" s="8"/>
      <c r="AR23" s="8"/>
      <c r="AS23" s="8"/>
      <c r="AT23" s="8" t="s">
        <v>178</v>
      </c>
      <c r="AU23" s="8" t="s">
        <v>179</v>
      </c>
    </row>
    <row r="24" spans="1:47" x14ac:dyDescent="0.2">
      <c r="B24" s="31" t="s">
        <v>538</v>
      </c>
      <c r="C24" s="6">
        <v>34932814</v>
      </c>
      <c r="D24" s="6">
        <v>24441384</v>
      </c>
      <c r="E24" s="6">
        <v>20305147</v>
      </c>
      <c r="F24" s="11">
        <v>35022769</v>
      </c>
      <c r="G24" s="48">
        <v>21349305</v>
      </c>
      <c r="H24" s="48">
        <v>19766297</v>
      </c>
      <c r="I24" s="48">
        <v>19825431</v>
      </c>
      <c r="J24" s="48">
        <v>15921876</v>
      </c>
      <c r="K24" s="48">
        <v>22323148</v>
      </c>
      <c r="L24" s="48">
        <v>25536051</v>
      </c>
      <c r="M24" s="48">
        <v>32801864</v>
      </c>
      <c r="N24" s="48">
        <v>19569897</v>
      </c>
      <c r="O24" s="48">
        <v>25238785</v>
      </c>
      <c r="P24" s="48">
        <v>15476319</v>
      </c>
      <c r="Q24" s="48">
        <v>24184471</v>
      </c>
      <c r="R24" s="48">
        <v>16113866</v>
      </c>
      <c r="S24" s="48">
        <v>18069629</v>
      </c>
      <c r="T24" s="48">
        <v>20295184</v>
      </c>
      <c r="U24" s="48">
        <v>13617812</v>
      </c>
      <c r="V24" s="48">
        <v>14964793</v>
      </c>
      <c r="W24" s="48">
        <v>8</v>
      </c>
      <c r="X24" s="48">
        <v>6</v>
      </c>
      <c r="Y24" s="48">
        <v>9</v>
      </c>
      <c r="Z24" s="48">
        <v>7</v>
      </c>
      <c r="AA24" s="48">
        <v>5</v>
      </c>
      <c r="AB24" s="48">
        <v>11</v>
      </c>
      <c r="AC24" s="48">
        <v>10</v>
      </c>
      <c r="AD24" s="48">
        <v>8</v>
      </c>
      <c r="AE24" s="48">
        <v>8</v>
      </c>
      <c r="AF24" s="11">
        <v>9</v>
      </c>
      <c r="AG24" s="11">
        <v>5</v>
      </c>
      <c r="AH24" s="11">
        <v>6</v>
      </c>
      <c r="AI24" s="6">
        <v>9878</v>
      </c>
      <c r="AJ24" s="11">
        <v>4718</v>
      </c>
      <c r="AK24" s="11">
        <v>10004</v>
      </c>
      <c r="AL24" s="11">
        <v>6078</v>
      </c>
      <c r="AM24" s="11">
        <v>32962</v>
      </c>
      <c r="AN24" s="11">
        <v>3678</v>
      </c>
      <c r="AO24" s="11">
        <v>8170</v>
      </c>
      <c r="AP24" s="11">
        <v>2000</v>
      </c>
      <c r="AQ24" s="11"/>
      <c r="AR24" s="11"/>
      <c r="AS24" s="11"/>
    </row>
    <row r="25" spans="1:47" x14ac:dyDescent="0.2">
      <c r="B25" s="31" t="s">
        <v>539</v>
      </c>
      <c r="C25" s="6">
        <v>60098966</v>
      </c>
      <c r="D25" s="6">
        <v>67837184</v>
      </c>
      <c r="E25" s="6">
        <v>21475590</v>
      </c>
      <c r="F25" s="11">
        <v>43794264</v>
      </c>
      <c r="G25" s="48">
        <v>58255140</v>
      </c>
      <c r="H25" s="48">
        <v>48575431</v>
      </c>
      <c r="I25" s="48">
        <v>25189952</v>
      </c>
      <c r="J25" s="48">
        <v>51569342</v>
      </c>
      <c r="K25" s="48">
        <v>60700829</v>
      </c>
      <c r="L25" s="48">
        <v>70274258</v>
      </c>
      <c r="M25" s="48">
        <v>76781062</v>
      </c>
      <c r="N25" s="48">
        <f>49793327+92290230</f>
        <v>142083557</v>
      </c>
      <c r="O25" s="48">
        <v>44624098</v>
      </c>
      <c r="P25" s="48">
        <v>47889517</v>
      </c>
      <c r="Q25" s="48">
        <v>64467636</v>
      </c>
      <c r="R25" s="48">
        <f>30806067+61329432</f>
        <v>92135499</v>
      </c>
      <c r="S25" s="48">
        <v>19201302</v>
      </c>
      <c r="T25" s="48">
        <v>41845971</v>
      </c>
      <c r="U25" s="48">
        <v>23805978</v>
      </c>
      <c r="V25" s="48">
        <v>47776813</v>
      </c>
      <c r="W25" s="48">
        <v>1</v>
      </c>
      <c r="X25" s="48">
        <v>24</v>
      </c>
      <c r="Y25" s="48">
        <v>94</v>
      </c>
      <c r="Z25" s="48">
        <v>98</v>
      </c>
      <c r="AA25" s="48">
        <v>79</v>
      </c>
      <c r="AB25" s="48">
        <v>45</v>
      </c>
      <c r="AC25" s="48">
        <v>30</v>
      </c>
      <c r="AD25" s="48">
        <v>26</v>
      </c>
      <c r="AE25" s="48">
        <v>46</v>
      </c>
      <c r="AF25" s="11">
        <v>1</v>
      </c>
      <c r="AG25" s="11">
        <v>72</v>
      </c>
      <c r="AH25" s="11">
        <v>110</v>
      </c>
      <c r="AI25" s="6">
        <v>394</v>
      </c>
      <c r="AJ25" s="11">
        <v>799</v>
      </c>
      <c r="AK25" s="11">
        <v>352</v>
      </c>
      <c r="AL25" s="11">
        <v>173</v>
      </c>
      <c r="AM25" s="11">
        <v>0</v>
      </c>
      <c r="AN25" s="11">
        <v>0</v>
      </c>
      <c r="AO25" s="11">
        <v>0</v>
      </c>
      <c r="AP25" s="11">
        <v>4</v>
      </c>
      <c r="AQ25" s="11"/>
      <c r="AR25" s="11"/>
      <c r="AS25" s="11"/>
    </row>
    <row r="26" spans="1:47" x14ac:dyDescent="0.2">
      <c r="B26" s="31" t="s">
        <v>540</v>
      </c>
      <c r="C26" s="6">
        <v>20098607</v>
      </c>
      <c r="D26" s="6">
        <v>19856623</v>
      </c>
      <c r="E26" s="6">
        <v>19579482</v>
      </c>
      <c r="F26" s="11">
        <v>19277255</v>
      </c>
      <c r="G26" s="48">
        <v>19286702</v>
      </c>
      <c r="H26" s="48">
        <v>22184293</v>
      </c>
      <c r="I26" s="48">
        <v>26397402</v>
      </c>
      <c r="J26" s="48">
        <v>20902129</v>
      </c>
      <c r="K26" s="48">
        <v>17447931</v>
      </c>
      <c r="L26" s="48">
        <v>15142830</v>
      </c>
      <c r="M26" s="48">
        <v>16011122</v>
      </c>
      <c r="N26" s="48">
        <f>12542519+19965936</f>
        <v>32508455</v>
      </c>
      <c r="O26" s="48">
        <v>16885043</v>
      </c>
      <c r="P26" s="48">
        <v>16191245</v>
      </c>
      <c r="Q26" s="48">
        <v>17407069</v>
      </c>
      <c r="R26" s="48">
        <f>13217581+18016435</f>
        <v>31234016</v>
      </c>
      <c r="S26" s="48">
        <v>23125771</v>
      </c>
      <c r="T26" s="48">
        <v>20770546</v>
      </c>
      <c r="U26" s="48">
        <v>18288708</v>
      </c>
      <c r="V26" s="48">
        <v>19349681</v>
      </c>
      <c r="W26" s="48">
        <v>141097</v>
      </c>
      <c r="X26" s="48">
        <v>299477</v>
      </c>
      <c r="Y26" s="48">
        <v>313584</v>
      </c>
      <c r="Z26" s="48">
        <v>278501</v>
      </c>
      <c r="AA26" s="48">
        <v>316857</v>
      </c>
      <c r="AB26" s="48">
        <v>369172</v>
      </c>
      <c r="AC26" s="48">
        <v>443648</v>
      </c>
      <c r="AD26" s="48">
        <v>172909</v>
      </c>
      <c r="AE26" s="48">
        <v>351948</v>
      </c>
      <c r="AF26" s="11">
        <v>86399</v>
      </c>
      <c r="AG26" s="11">
        <v>126883</v>
      </c>
      <c r="AH26" s="11">
        <v>402618</v>
      </c>
      <c r="AI26" s="6">
        <v>87737</v>
      </c>
      <c r="AJ26" s="11">
        <v>77365</v>
      </c>
      <c r="AK26" s="11">
        <v>76558</v>
      </c>
      <c r="AL26" s="11">
        <v>122901</v>
      </c>
      <c r="AM26" s="11">
        <v>145638</v>
      </c>
      <c r="AN26" s="11">
        <v>135314</v>
      </c>
      <c r="AO26" s="11">
        <v>140922</v>
      </c>
      <c r="AP26" s="11">
        <v>142078</v>
      </c>
      <c r="AQ26" s="11"/>
      <c r="AR26" s="11"/>
      <c r="AS26" s="11"/>
    </row>
    <row r="27" spans="1:47" x14ac:dyDescent="0.2">
      <c r="B27" s="31" t="s">
        <v>541</v>
      </c>
      <c r="C27" s="6">
        <v>17335363</v>
      </c>
      <c r="D27" s="6">
        <v>17840890</v>
      </c>
      <c r="E27" s="6">
        <v>20461116</v>
      </c>
      <c r="F27" s="11">
        <v>17568675</v>
      </c>
      <c r="G27" s="48">
        <v>21726803</v>
      </c>
      <c r="H27" s="48">
        <v>23086268</v>
      </c>
      <c r="I27" s="48">
        <v>21133820</v>
      </c>
      <c r="J27" s="48">
        <v>20014228</v>
      </c>
      <c r="K27" s="48">
        <v>20879150</v>
      </c>
      <c r="L27" s="48">
        <v>20668358</v>
      </c>
      <c r="M27" s="48">
        <v>21451889</v>
      </c>
      <c r="N27" s="48">
        <v>21557440</v>
      </c>
      <c r="O27" s="48">
        <v>16059139</v>
      </c>
      <c r="P27" s="48">
        <v>18879013</v>
      </c>
      <c r="Q27" s="48">
        <v>19035802</v>
      </c>
      <c r="R27" s="48">
        <v>21775040</v>
      </c>
      <c r="S27" s="48">
        <v>18798258</v>
      </c>
      <c r="T27" s="48">
        <v>18535077</v>
      </c>
      <c r="U27" s="48">
        <v>16556421</v>
      </c>
      <c r="V27" s="48">
        <v>19118275</v>
      </c>
      <c r="W27" s="48">
        <v>758365</v>
      </c>
      <c r="X27" s="48">
        <v>468155</v>
      </c>
      <c r="Y27" s="48">
        <v>472213</v>
      </c>
      <c r="Z27" s="48">
        <v>477481</v>
      </c>
      <c r="AA27" s="48">
        <v>1423303</v>
      </c>
      <c r="AB27" s="48">
        <v>1317780</v>
      </c>
      <c r="AC27" s="48">
        <v>1557243</v>
      </c>
      <c r="AD27" s="48">
        <v>1102385</v>
      </c>
      <c r="AE27" s="48">
        <v>673824</v>
      </c>
      <c r="AF27" s="11">
        <v>1096505</v>
      </c>
      <c r="AG27" s="11">
        <v>1611605</v>
      </c>
      <c r="AH27" s="11">
        <v>1014673</v>
      </c>
      <c r="AI27" s="6">
        <v>1169665</v>
      </c>
      <c r="AJ27" s="11">
        <v>724150</v>
      </c>
      <c r="AK27" s="11">
        <v>710645</v>
      </c>
      <c r="AL27" s="11">
        <v>1199374</v>
      </c>
      <c r="AM27" s="11">
        <v>165034</v>
      </c>
      <c r="AN27" s="11">
        <v>148935</v>
      </c>
      <c r="AO27" s="11">
        <v>167537</v>
      </c>
      <c r="AP27" s="11">
        <v>559999</v>
      </c>
      <c r="AQ27" s="11"/>
      <c r="AR27" s="11"/>
      <c r="AS27" s="11"/>
    </row>
    <row r="28" spans="1:47" x14ac:dyDescent="0.2">
      <c r="B28" s="31" t="s">
        <v>542</v>
      </c>
      <c r="C28" s="6">
        <v>634325578</v>
      </c>
      <c r="D28" s="6">
        <v>650770270</v>
      </c>
      <c r="E28" s="6">
        <v>671371028</v>
      </c>
      <c r="F28" s="6">
        <v>695084769</v>
      </c>
      <c r="G28" s="48">
        <v>591683460</v>
      </c>
      <c r="H28" s="48">
        <v>620422778</v>
      </c>
      <c r="I28" s="48">
        <v>622607449</v>
      </c>
      <c r="J28" s="48">
        <v>646188313</v>
      </c>
      <c r="K28" s="48">
        <v>559332025</v>
      </c>
      <c r="L28" s="48">
        <v>569734532</v>
      </c>
      <c r="M28" s="48">
        <v>570642563</v>
      </c>
      <c r="N28" s="48">
        <v>582436230</v>
      </c>
      <c r="O28" s="48">
        <v>579604360</v>
      </c>
      <c r="P28" s="48">
        <v>576775711</v>
      </c>
      <c r="Q28" s="48">
        <v>582386292</v>
      </c>
      <c r="R28" s="48">
        <v>586206787</v>
      </c>
      <c r="S28" s="48">
        <v>521348935</v>
      </c>
      <c r="T28" s="48">
        <v>549234005</v>
      </c>
      <c r="U28" s="48">
        <v>558674428</v>
      </c>
      <c r="V28" s="48">
        <v>556770947</v>
      </c>
      <c r="W28" s="48">
        <v>50211886</v>
      </c>
      <c r="X28" s="48">
        <v>49023716</v>
      </c>
      <c r="Y28" s="48">
        <v>49158540</v>
      </c>
      <c r="Z28" s="48">
        <v>47158131</v>
      </c>
      <c r="AA28" s="48">
        <v>51247788</v>
      </c>
      <c r="AB28" s="48">
        <v>51427301</v>
      </c>
      <c r="AC28" s="48">
        <v>51171783</v>
      </c>
      <c r="AD28" s="48">
        <v>50333988</v>
      </c>
      <c r="AE28" s="48">
        <v>46231771</v>
      </c>
      <c r="AF28" s="6">
        <v>48388565</v>
      </c>
      <c r="AG28" s="6">
        <v>49364911</v>
      </c>
      <c r="AH28" s="6">
        <v>50294886</v>
      </c>
      <c r="AI28" s="6">
        <v>32686673</v>
      </c>
      <c r="AJ28" s="6">
        <v>36541989</v>
      </c>
      <c r="AK28" s="6">
        <v>41701902</v>
      </c>
      <c r="AL28" s="6">
        <v>44227986</v>
      </c>
      <c r="AM28" s="6">
        <v>14963222</v>
      </c>
      <c r="AN28" s="11">
        <v>15007248</v>
      </c>
      <c r="AO28" s="6">
        <v>16003999</v>
      </c>
      <c r="AP28" s="6">
        <v>16908871</v>
      </c>
      <c r="AQ28" s="6"/>
      <c r="AR28" s="6"/>
      <c r="AS28" s="6"/>
    </row>
    <row r="29" spans="1:47" s="1" customFormat="1" x14ac:dyDescent="0.2">
      <c r="A29"/>
      <c r="B29" s="31" t="s">
        <v>531</v>
      </c>
      <c r="C29" s="30">
        <f>SUM(C24:C28)</f>
        <v>766791328</v>
      </c>
      <c r="D29" s="30">
        <f t="shared" ref="D29:E29" si="4">SUM(D24:D28)</f>
        <v>780746351</v>
      </c>
      <c r="E29" s="30">
        <f t="shared" si="4"/>
        <v>753192363</v>
      </c>
      <c r="F29" s="30">
        <f>SUM(F24:F28)</f>
        <v>810747732</v>
      </c>
      <c r="G29" s="30">
        <f>SUM(G24:G28)</f>
        <v>712301410</v>
      </c>
      <c r="H29" s="30">
        <f t="shared" ref="H29:I29" si="5">SUM(H24:H28)</f>
        <v>734035067</v>
      </c>
      <c r="I29" s="30">
        <f t="shared" si="5"/>
        <v>715154054</v>
      </c>
      <c r="J29" s="30">
        <f>SUM(J24:J28)</f>
        <v>754595888</v>
      </c>
      <c r="K29" s="30">
        <f>SUM(K24:K28)</f>
        <v>680683083</v>
      </c>
      <c r="L29" s="30">
        <f t="shared" ref="L29:M29" si="6">SUM(L24:L28)</f>
        <v>701356029</v>
      </c>
      <c r="M29" s="30">
        <f t="shared" si="6"/>
        <v>717688500</v>
      </c>
      <c r="N29" s="30">
        <f>SUM(N24:N28)</f>
        <v>798155579</v>
      </c>
      <c r="O29" s="30">
        <f t="shared" ref="O29:AP29" si="7">SUM(O24:O28)</f>
        <v>682411425</v>
      </c>
      <c r="P29" s="30">
        <f t="shared" si="7"/>
        <v>675211805</v>
      </c>
      <c r="Q29" s="30">
        <f t="shared" si="7"/>
        <v>707481270</v>
      </c>
      <c r="R29" s="30">
        <f>SUM(R24:R28)</f>
        <v>747465208</v>
      </c>
      <c r="S29" s="30">
        <f t="shared" si="7"/>
        <v>600543895</v>
      </c>
      <c r="T29" s="30">
        <f t="shared" si="7"/>
        <v>650680783</v>
      </c>
      <c r="U29" s="30">
        <f t="shared" si="7"/>
        <v>630943347</v>
      </c>
      <c r="V29" s="30">
        <f t="shared" si="7"/>
        <v>657980509</v>
      </c>
      <c r="W29" s="30">
        <f t="shared" si="7"/>
        <v>51111357</v>
      </c>
      <c r="X29" s="30">
        <f t="shared" si="7"/>
        <v>49791378</v>
      </c>
      <c r="Y29" s="30">
        <f t="shared" si="7"/>
        <v>49944440</v>
      </c>
      <c r="Z29" s="30">
        <f t="shared" si="7"/>
        <v>47914218</v>
      </c>
      <c r="AA29" s="30">
        <f t="shared" si="7"/>
        <v>52988032</v>
      </c>
      <c r="AB29" s="30">
        <f t="shared" si="7"/>
        <v>53114309</v>
      </c>
      <c r="AC29" s="30">
        <f t="shared" si="7"/>
        <v>53172714</v>
      </c>
      <c r="AD29" s="30">
        <f t="shared" si="7"/>
        <v>51609316</v>
      </c>
      <c r="AE29" s="30">
        <f t="shared" si="7"/>
        <v>47257597</v>
      </c>
      <c r="AF29" s="30">
        <f t="shared" si="7"/>
        <v>49571479</v>
      </c>
      <c r="AG29" s="30">
        <f t="shared" si="7"/>
        <v>51103476</v>
      </c>
      <c r="AH29" s="30">
        <f t="shared" si="7"/>
        <v>51712293</v>
      </c>
      <c r="AI29" s="30">
        <f t="shared" si="7"/>
        <v>33954347</v>
      </c>
      <c r="AJ29" s="30">
        <f t="shared" si="7"/>
        <v>37349021</v>
      </c>
      <c r="AK29" s="30">
        <f t="shared" si="7"/>
        <v>42499461</v>
      </c>
      <c r="AL29" s="30">
        <f t="shared" si="7"/>
        <v>45556512</v>
      </c>
      <c r="AM29" s="30">
        <f t="shared" si="7"/>
        <v>15306856</v>
      </c>
      <c r="AN29" s="30">
        <f t="shared" si="7"/>
        <v>15295175</v>
      </c>
      <c r="AO29" s="30">
        <f t="shared" si="7"/>
        <v>16320628</v>
      </c>
      <c r="AP29" s="30">
        <f t="shared" si="7"/>
        <v>17612952</v>
      </c>
      <c r="AQ29" s="30"/>
      <c r="AR29" s="30"/>
      <c r="AS29" s="30"/>
    </row>
    <row r="30" spans="1:47" x14ac:dyDescent="0.2">
      <c r="B30" s="31"/>
      <c r="F30" s="6"/>
      <c r="J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7" x14ac:dyDescent="0.2">
      <c r="B31" s="31"/>
      <c r="F31" s="6"/>
      <c r="J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7" ht="17" thickBot="1" x14ac:dyDescent="0.25">
      <c r="B32" s="31"/>
      <c r="F32" s="6"/>
      <c r="J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x14ac:dyDescent="0.2">
      <c r="B33" s="31"/>
      <c r="C33" s="58">
        <v>2023</v>
      </c>
      <c r="D33" s="59"/>
      <c r="E33" s="59"/>
      <c r="F33" s="59"/>
      <c r="G33" s="58">
        <v>2022</v>
      </c>
      <c r="H33" s="59"/>
      <c r="I33" s="59"/>
      <c r="J33" s="59"/>
      <c r="K33" s="58">
        <v>2021</v>
      </c>
      <c r="L33" s="59"/>
      <c r="M33" s="59"/>
      <c r="N33" s="59"/>
      <c r="O33" s="60">
        <v>2020</v>
      </c>
      <c r="P33" s="60"/>
      <c r="Q33" s="60"/>
      <c r="R33" s="60"/>
      <c r="S33" s="57">
        <v>2019</v>
      </c>
      <c r="T33" s="57"/>
      <c r="U33" s="57"/>
      <c r="V33" s="57"/>
      <c r="W33" s="59" t="s">
        <v>688</v>
      </c>
      <c r="X33" s="59"/>
      <c r="Y33" s="59"/>
      <c r="Z33" s="59"/>
      <c r="AA33" s="59" t="s">
        <v>689</v>
      </c>
      <c r="AB33" s="59"/>
      <c r="AC33" s="59"/>
      <c r="AD33" s="59"/>
      <c r="AE33" s="59" t="s">
        <v>178</v>
      </c>
      <c r="AF33" s="59"/>
      <c r="AG33" s="59"/>
      <c r="AH33" s="59"/>
      <c r="AI33" s="60" t="s">
        <v>179</v>
      </c>
      <c r="AJ33" s="60"/>
      <c r="AK33" s="60"/>
      <c r="AL33" s="60"/>
      <c r="AM33" s="57" t="s">
        <v>625</v>
      </c>
      <c r="AN33" s="57"/>
      <c r="AO33" s="57"/>
      <c r="AP33" s="57"/>
      <c r="AQ33" s="6"/>
      <c r="AR33" s="6"/>
      <c r="AS33" s="6"/>
    </row>
    <row r="34" spans="2:45" ht="17" thickBot="1" x14ac:dyDescent="0.25">
      <c r="B34" s="8" t="s">
        <v>17</v>
      </c>
      <c r="C34" s="35" t="s">
        <v>93</v>
      </c>
      <c r="D34" s="36" t="s">
        <v>96</v>
      </c>
      <c r="E34" s="36" t="s">
        <v>554</v>
      </c>
      <c r="F34" s="36" t="s">
        <v>102</v>
      </c>
      <c r="G34" s="35" t="s">
        <v>93</v>
      </c>
      <c r="H34" s="36" t="s">
        <v>96</v>
      </c>
      <c r="I34" s="36" t="s">
        <v>554</v>
      </c>
      <c r="J34" s="36" t="s">
        <v>102</v>
      </c>
      <c r="K34" s="35" t="s">
        <v>93</v>
      </c>
      <c r="L34" s="36" t="s">
        <v>96</v>
      </c>
      <c r="M34" s="36" t="s">
        <v>554</v>
      </c>
      <c r="N34" s="36" t="s">
        <v>102</v>
      </c>
      <c r="O34" s="36" t="s">
        <v>93</v>
      </c>
      <c r="P34" s="36" t="s">
        <v>96</v>
      </c>
      <c r="Q34" s="36" t="s">
        <v>554</v>
      </c>
      <c r="R34" s="36" t="s">
        <v>102</v>
      </c>
      <c r="S34" s="36" t="s">
        <v>93</v>
      </c>
      <c r="T34" s="36" t="s">
        <v>96</v>
      </c>
      <c r="U34" s="36" t="s">
        <v>554</v>
      </c>
      <c r="V34" s="36" t="s">
        <v>102</v>
      </c>
      <c r="W34" s="36" t="s">
        <v>93</v>
      </c>
      <c r="X34" s="36" t="s">
        <v>96</v>
      </c>
      <c r="Y34" s="36" t="s">
        <v>554</v>
      </c>
      <c r="Z34" s="36" t="s">
        <v>102</v>
      </c>
      <c r="AA34" s="36" t="s">
        <v>93</v>
      </c>
      <c r="AB34" s="36" t="s">
        <v>96</v>
      </c>
      <c r="AC34" s="36" t="s">
        <v>554</v>
      </c>
      <c r="AD34" s="36" t="s">
        <v>102</v>
      </c>
      <c r="AE34" s="36" t="s">
        <v>93</v>
      </c>
      <c r="AF34" s="36" t="s">
        <v>96</v>
      </c>
      <c r="AG34" s="36" t="s">
        <v>554</v>
      </c>
      <c r="AH34" s="36" t="s">
        <v>102</v>
      </c>
      <c r="AI34" s="36" t="s">
        <v>93</v>
      </c>
      <c r="AJ34" s="36" t="s">
        <v>96</v>
      </c>
      <c r="AK34" s="36" t="s">
        <v>554</v>
      </c>
      <c r="AL34" s="36" t="s">
        <v>102</v>
      </c>
      <c r="AM34" s="36" t="s">
        <v>93</v>
      </c>
      <c r="AN34" s="36" t="s">
        <v>96</v>
      </c>
      <c r="AO34" s="36" t="s">
        <v>554</v>
      </c>
      <c r="AP34" s="36" t="s">
        <v>102</v>
      </c>
      <c r="AQ34" s="8"/>
      <c r="AR34" s="8"/>
      <c r="AS34" s="8"/>
    </row>
    <row r="35" spans="2:45" x14ac:dyDescent="0.2">
      <c r="B35" s="31" t="s">
        <v>538</v>
      </c>
      <c r="C35" s="6">
        <v>14939980</v>
      </c>
      <c r="D35" s="6">
        <v>31786074</v>
      </c>
      <c r="E35" s="6">
        <v>20444250</v>
      </c>
      <c r="F35" s="6">
        <v>22331919</v>
      </c>
      <c r="G35" s="48">
        <v>14419214</v>
      </c>
      <c r="H35" s="48">
        <v>14467920</v>
      </c>
      <c r="I35" s="48">
        <v>14785646</v>
      </c>
      <c r="J35" s="48">
        <v>21488434</v>
      </c>
      <c r="K35" s="6">
        <v>13205459</v>
      </c>
      <c r="L35" s="6">
        <v>15427232</v>
      </c>
      <c r="M35" s="6">
        <v>18617542</v>
      </c>
      <c r="N35" s="6">
        <v>14065097</v>
      </c>
      <c r="O35" s="6">
        <v>13832037</v>
      </c>
      <c r="P35" s="6">
        <v>12730715</v>
      </c>
      <c r="Q35" s="6">
        <v>9623648</v>
      </c>
      <c r="R35" s="6">
        <v>9154378</v>
      </c>
      <c r="S35" s="6">
        <v>24310153</v>
      </c>
      <c r="T35" s="6">
        <v>15763677</v>
      </c>
      <c r="U35" s="6">
        <v>13747803</v>
      </c>
      <c r="V35" s="6">
        <v>10237736</v>
      </c>
      <c r="W35" s="6">
        <v>14453</v>
      </c>
      <c r="X35" s="6">
        <v>48213</v>
      </c>
      <c r="Y35" s="6">
        <v>35340</v>
      </c>
      <c r="Z35" s="6">
        <v>9984</v>
      </c>
      <c r="AA35" s="48">
        <v>29548</v>
      </c>
      <c r="AB35" s="48">
        <v>33300</v>
      </c>
      <c r="AC35" s="6">
        <v>33008</v>
      </c>
      <c r="AD35" s="6">
        <v>18577</v>
      </c>
      <c r="AE35" s="6">
        <v>59437</v>
      </c>
      <c r="AF35" s="6">
        <v>94098</v>
      </c>
      <c r="AG35" s="6">
        <v>69602</v>
      </c>
      <c r="AH35" s="6">
        <v>29078</v>
      </c>
      <c r="AI35" s="6">
        <v>0</v>
      </c>
      <c r="AJ35" s="6">
        <v>10385</v>
      </c>
      <c r="AK35" s="6">
        <v>77904</v>
      </c>
      <c r="AL35" s="6">
        <v>93843</v>
      </c>
      <c r="AM35" s="6">
        <v>0</v>
      </c>
      <c r="AN35" s="6">
        <v>0</v>
      </c>
      <c r="AO35" s="6">
        <v>0</v>
      </c>
      <c r="AP35" s="6">
        <v>0</v>
      </c>
      <c r="AQ35" s="6"/>
      <c r="AR35" s="6"/>
      <c r="AS35" s="6"/>
    </row>
    <row r="36" spans="2:45" x14ac:dyDescent="0.2">
      <c r="B36" s="31" t="s">
        <v>539</v>
      </c>
      <c r="C36" s="6">
        <v>65446010</v>
      </c>
      <c r="D36" s="6">
        <v>34145627</v>
      </c>
      <c r="E36" s="6">
        <v>19428447</v>
      </c>
      <c r="F36" s="6">
        <v>65225260</v>
      </c>
      <c r="G36" s="48">
        <v>60122954</v>
      </c>
      <c r="H36" s="48">
        <v>53331980</v>
      </c>
      <c r="I36" s="6">
        <v>40369810</v>
      </c>
      <c r="J36" s="6">
        <v>70401901</v>
      </c>
      <c r="K36" s="6">
        <v>70422419</v>
      </c>
      <c r="L36" s="6">
        <v>95740914</v>
      </c>
      <c r="M36" s="6">
        <v>75897876</v>
      </c>
      <c r="N36" s="6">
        <v>58982842</v>
      </c>
      <c r="O36" s="6">
        <v>55813663</v>
      </c>
      <c r="P36" s="6">
        <v>64381397</v>
      </c>
      <c r="Q36" s="6">
        <v>80217031</v>
      </c>
      <c r="R36" s="6">
        <v>66539685</v>
      </c>
      <c r="S36" s="6">
        <v>64668645</v>
      </c>
      <c r="T36" s="6">
        <v>43217543</v>
      </c>
      <c r="U36" s="6">
        <v>62676104</v>
      </c>
      <c r="V36" s="6">
        <v>116854727</v>
      </c>
      <c r="W36" s="6">
        <v>2293</v>
      </c>
      <c r="X36" s="6">
        <v>2504</v>
      </c>
      <c r="Y36" s="6">
        <v>5352</v>
      </c>
      <c r="Z36" s="6">
        <v>1860</v>
      </c>
      <c r="AA36" s="48">
        <v>4997</v>
      </c>
      <c r="AB36" s="48">
        <v>4452</v>
      </c>
      <c r="AC36" s="6">
        <v>6781</v>
      </c>
      <c r="AD36" s="6">
        <v>1981</v>
      </c>
      <c r="AE36" s="6">
        <v>12319</v>
      </c>
      <c r="AF36" s="6">
        <v>9312</v>
      </c>
      <c r="AG36" s="6">
        <v>16989</v>
      </c>
      <c r="AH36" s="6">
        <v>6177</v>
      </c>
      <c r="AI36" s="6">
        <v>299</v>
      </c>
      <c r="AJ36" s="6">
        <v>1033</v>
      </c>
      <c r="AK36" s="6">
        <v>11514</v>
      </c>
      <c r="AL36" s="6">
        <v>18070</v>
      </c>
      <c r="AM36" s="6">
        <v>0</v>
      </c>
      <c r="AN36" s="6">
        <v>0</v>
      </c>
      <c r="AO36" s="6">
        <v>0</v>
      </c>
      <c r="AP36" s="6">
        <v>0</v>
      </c>
      <c r="AQ36" s="6"/>
      <c r="AR36" s="6"/>
      <c r="AS36" s="6"/>
    </row>
    <row r="37" spans="2:45" x14ac:dyDescent="0.2">
      <c r="B37" s="31" t="s">
        <v>540</v>
      </c>
      <c r="C37" s="6">
        <v>40401669</v>
      </c>
      <c r="D37" s="6">
        <v>38985135</v>
      </c>
      <c r="E37" s="6">
        <v>58203861</v>
      </c>
      <c r="F37" s="6">
        <v>53895404</v>
      </c>
      <c r="G37" s="48">
        <v>36091289</v>
      </c>
      <c r="H37" s="48">
        <v>41338920</v>
      </c>
      <c r="I37" s="6">
        <v>45208845</v>
      </c>
      <c r="J37" s="6">
        <v>39067375</v>
      </c>
      <c r="K37" s="6">
        <v>27979627</v>
      </c>
      <c r="L37" s="6">
        <v>27084231</v>
      </c>
      <c r="M37" s="6">
        <v>28952921</v>
      </c>
      <c r="N37" s="6">
        <v>29664225</v>
      </c>
      <c r="O37" s="6">
        <v>31310693</v>
      </c>
      <c r="P37" s="6">
        <v>28801828</v>
      </c>
      <c r="Q37" s="6">
        <v>29969010</v>
      </c>
      <c r="R37" s="6">
        <v>27573004</v>
      </c>
      <c r="S37" s="6">
        <v>24224106</v>
      </c>
      <c r="T37" s="6">
        <v>22966791</v>
      </c>
      <c r="U37" s="6">
        <v>25715485</v>
      </c>
      <c r="V37" s="6">
        <v>34317499</v>
      </c>
      <c r="W37" s="6">
        <v>1712224</v>
      </c>
      <c r="X37" s="6">
        <v>2240391</v>
      </c>
      <c r="Y37" s="6">
        <v>2815941</v>
      </c>
      <c r="Z37" s="6">
        <v>2323916</v>
      </c>
      <c r="AA37" s="48">
        <v>1419545</v>
      </c>
      <c r="AB37" s="48">
        <v>1272563</v>
      </c>
      <c r="AC37" s="6">
        <v>1690742</v>
      </c>
      <c r="AD37" s="6">
        <v>1638929</v>
      </c>
      <c r="AE37" s="6">
        <v>1295784</v>
      </c>
      <c r="AF37" s="6">
        <v>1290798</v>
      </c>
      <c r="AG37" s="6">
        <v>1151260</v>
      </c>
      <c r="AH37" s="6">
        <v>1142349</v>
      </c>
      <c r="AI37" s="6">
        <v>2954680</v>
      </c>
      <c r="AJ37" s="6">
        <v>2809690</v>
      </c>
      <c r="AK37" s="6">
        <v>2396666</v>
      </c>
      <c r="AL37" s="6">
        <v>1326190</v>
      </c>
      <c r="AM37" s="6">
        <v>0</v>
      </c>
      <c r="AN37" s="6">
        <v>0</v>
      </c>
      <c r="AO37" s="6">
        <v>0</v>
      </c>
      <c r="AP37" s="6">
        <v>132241</v>
      </c>
      <c r="AQ37" s="6"/>
      <c r="AR37" s="6"/>
      <c r="AS37" s="6"/>
    </row>
    <row r="38" spans="2:45" x14ac:dyDescent="0.2">
      <c r="B38" s="31" t="s">
        <v>543</v>
      </c>
      <c r="C38" s="6">
        <v>1116520117</v>
      </c>
      <c r="D38" s="6">
        <v>1137528613</v>
      </c>
      <c r="E38" s="6">
        <v>1184682207</v>
      </c>
      <c r="F38" s="6">
        <v>1197752706</v>
      </c>
      <c r="G38" s="48">
        <v>1024346034</v>
      </c>
      <c r="H38" s="48">
        <v>1051040307</v>
      </c>
      <c r="I38" s="6">
        <v>1054722713</v>
      </c>
      <c r="J38" s="6">
        <v>1079274819</v>
      </c>
      <c r="K38" s="6">
        <v>914189177</v>
      </c>
      <c r="L38" s="6">
        <v>929402463</v>
      </c>
      <c r="M38" s="6">
        <v>1017005188</v>
      </c>
      <c r="N38" s="6">
        <v>994416523</v>
      </c>
      <c r="O38" s="6">
        <v>901805704</v>
      </c>
      <c r="P38" s="6">
        <v>886899510</v>
      </c>
      <c r="Q38" s="6">
        <v>896216800</v>
      </c>
      <c r="R38" s="6">
        <v>899458207</v>
      </c>
      <c r="S38" s="6">
        <v>830865238</v>
      </c>
      <c r="T38" s="6">
        <v>862119904</v>
      </c>
      <c r="U38" s="6">
        <v>875127891</v>
      </c>
      <c r="V38" s="6">
        <v>877431193</v>
      </c>
      <c r="W38" s="6">
        <v>90201255</v>
      </c>
      <c r="X38" s="6">
        <v>83486893</v>
      </c>
      <c r="Y38" s="6">
        <v>83135504</v>
      </c>
      <c r="Z38" s="6">
        <v>79924211</v>
      </c>
      <c r="AA38" s="48">
        <v>88500661</v>
      </c>
      <c r="AB38" s="48">
        <v>92181944</v>
      </c>
      <c r="AC38" s="6">
        <v>91375936</v>
      </c>
      <c r="AD38" s="6">
        <v>88323830</v>
      </c>
      <c r="AE38" s="6">
        <v>72324378</v>
      </c>
      <c r="AF38" s="6">
        <v>78132193</v>
      </c>
      <c r="AG38" s="6">
        <v>83716299</v>
      </c>
      <c r="AH38" s="6">
        <v>84833734</v>
      </c>
      <c r="AI38" s="6">
        <v>56862633</v>
      </c>
      <c r="AJ38" s="6">
        <v>53134643</v>
      </c>
      <c r="AK38" s="6">
        <v>58235996</v>
      </c>
      <c r="AL38" s="6">
        <v>65165002</v>
      </c>
      <c r="AM38" s="6">
        <v>37076465</v>
      </c>
      <c r="AN38" s="6">
        <v>38848157</v>
      </c>
      <c r="AO38" s="6">
        <v>41026638</v>
      </c>
      <c r="AP38" s="6">
        <v>38363840</v>
      </c>
      <c r="AQ38" s="6"/>
      <c r="AR38" s="6"/>
      <c r="AS38" s="6"/>
    </row>
    <row r="39" spans="2:45" x14ac:dyDescent="0.2">
      <c r="B39" s="31" t="s">
        <v>544</v>
      </c>
      <c r="C39" s="6">
        <v>10813298</v>
      </c>
      <c r="D39" s="6">
        <v>11693680</v>
      </c>
      <c r="E39" s="6">
        <v>13151937</v>
      </c>
      <c r="F39" s="6">
        <v>13668220</v>
      </c>
      <c r="G39" s="48">
        <v>9466443</v>
      </c>
      <c r="H39" s="48">
        <v>9521336</v>
      </c>
      <c r="I39" s="6">
        <v>9751566</v>
      </c>
      <c r="J39" s="6">
        <v>10514329</v>
      </c>
      <c r="K39" s="6">
        <v>0</v>
      </c>
      <c r="L39" s="6">
        <v>38915673</v>
      </c>
      <c r="M39" s="6">
        <v>9419034</v>
      </c>
      <c r="N39" s="6">
        <v>9159501</v>
      </c>
      <c r="O39" s="6">
        <v>28919902</v>
      </c>
      <c r="P39" s="6">
        <v>36067294</v>
      </c>
      <c r="Q39" s="6">
        <v>39129936</v>
      </c>
      <c r="R39" s="6">
        <v>38915673</v>
      </c>
      <c r="S39" s="6">
        <v>21005163</v>
      </c>
      <c r="T39" s="6">
        <v>22297561</v>
      </c>
      <c r="U39" s="6">
        <v>23874525</v>
      </c>
      <c r="V39" s="6">
        <v>25766197</v>
      </c>
      <c r="W39" s="6">
        <v>1168558</v>
      </c>
      <c r="X39" s="6">
        <v>1314857</v>
      </c>
      <c r="Y39" s="6">
        <v>1350802</v>
      </c>
      <c r="Z39" s="6">
        <v>1093762</v>
      </c>
      <c r="AA39" s="48">
        <v>1391288</v>
      </c>
      <c r="AB39" s="48">
        <v>1313130</v>
      </c>
      <c r="AC39" s="6">
        <v>1413076</v>
      </c>
      <c r="AD39" s="6">
        <v>1286203</v>
      </c>
      <c r="AE39" s="6">
        <v>0</v>
      </c>
      <c r="AF39" s="6">
        <v>1449489</v>
      </c>
      <c r="AG39" s="6">
        <v>1486659</v>
      </c>
      <c r="AH39" s="6">
        <v>1410907</v>
      </c>
      <c r="AI39" s="6">
        <v>947117</v>
      </c>
      <c r="AJ39" s="6">
        <v>1062377</v>
      </c>
      <c r="AK39" s="6">
        <v>1221924</v>
      </c>
      <c r="AL39" s="6">
        <v>1449489</v>
      </c>
      <c r="AM39" s="6">
        <v>483083</v>
      </c>
      <c r="AN39" s="6">
        <v>316136</v>
      </c>
      <c r="AO39" s="6">
        <v>497212</v>
      </c>
      <c r="AP39" s="6">
        <v>745029</v>
      </c>
      <c r="AQ39" s="6"/>
      <c r="AR39" s="6"/>
      <c r="AS39" s="6"/>
    </row>
    <row r="40" spans="2:45" x14ac:dyDescent="0.2">
      <c r="B40" s="31" t="s">
        <v>627</v>
      </c>
      <c r="C40" s="6">
        <v>52787169</v>
      </c>
      <c r="D40" s="6">
        <v>52907202</v>
      </c>
      <c r="E40" s="6">
        <v>52880528</v>
      </c>
      <c r="F40" s="6">
        <v>55008321</v>
      </c>
      <c r="G40" s="48">
        <v>42114525</v>
      </c>
      <c r="H40" s="48">
        <v>44223526</v>
      </c>
      <c r="I40" s="6">
        <v>47003456</v>
      </c>
      <c r="J40" s="6">
        <v>49287917</v>
      </c>
      <c r="K40" s="6">
        <v>3758505</v>
      </c>
      <c r="L40" s="6">
        <v>4169230</v>
      </c>
      <c r="M40" s="6">
        <v>4467422</v>
      </c>
      <c r="N40" s="6">
        <v>39291429</v>
      </c>
      <c r="O40" s="6">
        <v>4103233</v>
      </c>
      <c r="P40" s="6">
        <v>3721478</v>
      </c>
      <c r="Q40" s="6">
        <v>3593356</v>
      </c>
      <c r="R40" s="6">
        <v>3619224</v>
      </c>
      <c r="S40" s="6">
        <v>3596677</v>
      </c>
      <c r="T40" s="6">
        <v>3904688</v>
      </c>
      <c r="U40" s="6">
        <v>4136587</v>
      </c>
      <c r="V40" s="6">
        <v>4191596</v>
      </c>
      <c r="W40" s="6">
        <v>3816784</v>
      </c>
      <c r="X40" s="6">
        <v>3436158</v>
      </c>
      <c r="Y40" s="6">
        <v>3384430</v>
      </c>
      <c r="Z40" s="6">
        <v>4483915</v>
      </c>
      <c r="AA40" s="48">
        <v>1940085</v>
      </c>
      <c r="AB40" s="48">
        <v>2350465</v>
      </c>
      <c r="AC40" s="6">
        <v>3113236</v>
      </c>
      <c r="AD40" s="6">
        <v>3477948</v>
      </c>
      <c r="AE40" s="6">
        <v>225829</v>
      </c>
      <c r="AF40" s="6">
        <v>216247</v>
      </c>
      <c r="AG40" s="6">
        <v>201510</v>
      </c>
      <c r="AH40" s="6">
        <v>1584776</v>
      </c>
      <c r="AI40" s="6">
        <v>95500</v>
      </c>
      <c r="AJ40" s="6">
        <v>127627</v>
      </c>
      <c r="AK40" s="6">
        <v>149606</v>
      </c>
      <c r="AL40" s="6">
        <v>213060</v>
      </c>
      <c r="AM40" s="6">
        <v>91700</v>
      </c>
      <c r="AN40" s="6">
        <v>99000</v>
      </c>
      <c r="AO40" s="6">
        <v>112100</v>
      </c>
      <c r="AP40" s="6">
        <v>87500</v>
      </c>
      <c r="AQ40" s="6"/>
      <c r="AR40" s="6"/>
      <c r="AS40" s="6"/>
    </row>
    <row r="41" spans="2:45" x14ac:dyDescent="0.2">
      <c r="B41" s="31" t="s">
        <v>541</v>
      </c>
      <c r="C41" s="6">
        <v>8167498</v>
      </c>
      <c r="D41" s="6">
        <v>7617863</v>
      </c>
      <c r="E41" s="6">
        <v>9056055</v>
      </c>
      <c r="F41" s="6">
        <v>10217408</v>
      </c>
      <c r="G41" s="48">
        <v>8622376</v>
      </c>
      <c r="H41" s="48">
        <v>8140408</v>
      </c>
      <c r="I41" s="6">
        <v>8616668</v>
      </c>
      <c r="J41" s="6">
        <v>7167600</v>
      </c>
      <c r="K41" s="6">
        <v>5400017</v>
      </c>
      <c r="L41" s="6">
        <v>5722616</v>
      </c>
      <c r="M41" s="6">
        <v>5890115</v>
      </c>
      <c r="N41" s="6">
        <v>9554238</v>
      </c>
      <c r="O41" s="6">
        <v>9052718</v>
      </c>
      <c r="P41" s="6">
        <v>6377582</v>
      </c>
      <c r="Q41" s="6">
        <v>7815806</v>
      </c>
      <c r="R41" s="6">
        <v>6817436</v>
      </c>
      <c r="S41" s="6">
        <v>10178637</v>
      </c>
      <c r="T41" s="6">
        <v>7587726</v>
      </c>
      <c r="U41" s="6">
        <v>7312606</v>
      </c>
      <c r="V41" s="6">
        <v>9346063</v>
      </c>
      <c r="W41" s="6">
        <v>217291</v>
      </c>
      <c r="X41" s="6">
        <v>256259</v>
      </c>
      <c r="Y41" s="6">
        <v>363874</v>
      </c>
      <c r="Z41" s="6">
        <v>249698</v>
      </c>
      <c r="AA41" s="48">
        <v>424632</v>
      </c>
      <c r="AB41" s="48">
        <v>358791</v>
      </c>
      <c r="AC41" s="6">
        <v>255062</v>
      </c>
      <c r="AD41" s="6">
        <v>136536</v>
      </c>
      <c r="AE41" s="6">
        <v>241094</v>
      </c>
      <c r="AF41" s="6">
        <v>200250</v>
      </c>
      <c r="AG41" s="6">
        <v>205949</v>
      </c>
      <c r="AH41" s="6">
        <v>488233</v>
      </c>
      <c r="AI41" s="6">
        <v>0</v>
      </c>
      <c r="AJ41" s="6">
        <v>82009</v>
      </c>
      <c r="AK41" s="6">
        <v>132607</v>
      </c>
      <c r="AL41" s="6">
        <v>546260</v>
      </c>
      <c r="AM41" s="6">
        <v>0</v>
      </c>
      <c r="AN41" s="6">
        <v>0</v>
      </c>
      <c r="AO41" s="6">
        <v>0</v>
      </c>
      <c r="AP41" s="6">
        <v>0</v>
      </c>
      <c r="AQ41" s="6"/>
      <c r="AR41" s="6"/>
      <c r="AS41" s="6"/>
    </row>
    <row r="42" spans="2:45" x14ac:dyDescent="0.2">
      <c r="B42" s="31" t="s">
        <v>531</v>
      </c>
      <c r="C42" s="30">
        <f>SUM(C35:C41)</f>
        <v>1309075741</v>
      </c>
      <c r="D42" s="30">
        <f t="shared" ref="D42:F42" si="8">SUM(D35:D41)</f>
        <v>1314664194</v>
      </c>
      <c r="E42" s="30">
        <f t="shared" si="8"/>
        <v>1357847285</v>
      </c>
      <c r="F42" s="30">
        <f t="shared" si="8"/>
        <v>1418099238</v>
      </c>
      <c r="G42" s="30">
        <f>SUM(G35:G41)</f>
        <v>1195182835</v>
      </c>
      <c r="H42" s="30">
        <f t="shared" ref="H42:J42" si="9">SUM(H35:H41)</f>
        <v>1222064397</v>
      </c>
      <c r="I42" s="30">
        <f t="shared" si="9"/>
        <v>1220458704</v>
      </c>
      <c r="J42" s="30">
        <f t="shared" si="9"/>
        <v>1277202375</v>
      </c>
      <c r="K42" s="30">
        <f>SUM(K35:K41)</f>
        <v>1034955204</v>
      </c>
      <c r="L42" s="30">
        <f t="shared" ref="L42:AP42" si="10">SUM(L35:L41)</f>
        <v>1116462359</v>
      </c>
      <c r="M42" s="30">
        <f t="shared" si="10"/>
        <v>1160250098</v>
      </c>
      <c r="N42" s="30">
        <f t="shared" si="10"/>
        <v>1155133855</v>
      </c>
      <c r="O42" s="30">
        <f t="shared" si="10"/>
        <v>1044837950</v>
      </c>
      <c r="P42" s="30">
        <f t="shared" si="10"/>
        <v>1038979804</v>
      </c>
      <c r="Q42" s="30">
        <f t="shared" si="10"/>
        <v>1066565587</v>
      </c>
      <c r="R42" s="30">
        <f t="shared" si="10"/>
        <v>1052077607</v>
      </c>
      <c r="S42" s="30">
        <f t="shared" si="10"/>
        <v>978848619</v>
      </c>
      <c r="T42" s="30">
        <f t="shared" si="10"/>
        <v>977857890</v>
      </c>
      <c r="U42" s="30">
        <f t="shared" si="10"/>
        <v>1012591001</v>
      </c>
      <c r="V42" s="30">
        <f>SUM(V35:V41)</f>
        <v>1078145011</v>
      </c>
      <c r="W42" s="30">
        <f t="shared" si="10"/>
        <v>97132858</v>
      </c>
      <c r="X42" s="30">
        <f t="shared" si="10"/>
        <v>90785275</v>
      </c>
      <c r="Y42" s="30">
        <f t="shared" si="10"/>
        <v>91091243</v>
      </c>
      <c r="Z42" s="30">
        <f t="shared" si="10"/>
        <v>88087346</v>
      </c>
      <c r="AA42" s="30">
        <f t="shared" si="10"/>
        <v>93710756</v>
      </c>
      <c r="AB42" s="30">
        <f t="shared" si="10"/>
        <v>97514645</v>
      </c>
      <c r="AC42" s="30">
        <f t="shared" si="10"/>
        <v>97887841</v>
      </c>
      <c r="AD42" s="30">
        <f t="shared" si="10"/>
        <v>94884004</v>
      </c>
      <c r="AE42" s="30">
        <f t="shared" si="10"/>
        <v>74158841</v>
      </c>
      <c r="AF42" s="30">
        <f t="shared" si="10"/>
        <v>81392387</v>
      </c>
      <c r="AG42" s="30">
        <f t="shared" si="10"/>
        <v>86848268</v>
      </c>
      <c r="AH42" s="30">
        <f t="shared" si="10"/>
        <v>89495254</v>
      </c>
      <c r="AI42" s="30">
        <f t="shared" si="10"/>
        <v>60860229</v>
      </c>
      <c r="AJ42" s="30">
        <f t="shared" si="10"/>
        <v>57227764</v>
      </c>
      <c r="AK42" s="30">
        <f t="shared" si="10"/>
        <v>62226217</v>
      </c>
      <c r="AL42" s="30">
        <f t="shared" si="10"/>
        <v>68811914</v>
      </c>
      <c r="AM42" s="30">
        <f t="shared" si="10"/>
        <v>37651248</v>
      </c>
      <c r="AN42" s="30">
        <f t="shared" si="10"/>
        <v>39263293</v>
      </c>
      <c r="AO42" s="30">
        <f t="shared" si="10"/>
        <v>41635950</v>
      </c>
      <c r="AP42" s="30">
        <f t="shared" si="10"/>
        <v>39328610</v>
      </c>
      <c r="AQ42" s="6"/>
      <c r="AR42" s="6"/>
      <c r="AS42" s="6"/>
    </row>
    <row r="43" spans="2:45" ht="17" thickBot="1" x14ac:dyDescent="0.25">
      <c r="B43" s="31"/>
      <c r="F43" s="6"/>
      <c r="J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x14ac:dyDescent="0.2">
      <c r="B44" s="8"/>
      <c r="C44" s="58">
        <v>2023</v>
      </c>
      <c r="D44" s="59"/>
      <c r="E44" s="59"/>
      <c r="F44" s="59"/>
      <c r="G44" s="58">
        <v>2022</v>
      </c>
      <c r="H44" s="59"/>
      <c r="I44" s="59"/>
      <c r="J44" s="59"/>
      <c r="K44" s="58">
        <v>2021</v>
      </c>
      <c r="L44" s="59"/>
      <c r="M44" s="59"/>
      <c r="N44" s="59"/>
      <c r="O44" s="60">
        <v>2020</v>
      </c>
      <c r="P44" s="60"/>
      <c r="Q44" s="60"/>
      <c r="R44" s="60"/>
      <c r="S44" s="57">
        <v>2019</v>
      </c>
      <c r="T44" s="57"/>
      <c r="U44" s="57"/>
      <c r="V44" s="57"/>
      <c r="W44" s="59" t="s">
        <v>688</v>
      </c>
      <c r="X44" s="59"/>
      <c r="Y44" s="59"/>
      <c r="Z44" s="59"/>
      <c r="AA44" s="59" t="s">
        <v>689</v>
      </c>
      <c r="AB44" s="59"/>
      <c r="AC44" s="59"/>
      <c r="AD44" s="59"/>
      <c r="AE44" s="59" t="s">
        <v>178</v>
      </c>
      <c r="AF44" s="59"/>
      <c r="AG44" s="59"/>
      <c r="AH44" s="59"/>
      <c r="AI44" s="60" t="s">
        <v>179</v>
      </c>
      <c r="AJ44" s="60"/>
      <c r="AK44" s="60"/>
      <c r="AL44" s="60"/>
      <c r="AM44" s="57" t="s">
        <v>625</v>
      </c>
      <c r="AN44" s="57"/>
      <c r="AO44" s="57"/>
      <c r="AP44" s="57"/>
      <c r="AQ44" s="6"/>
      <c r="AR44" s="6"/>
      <c r="AS44" s="6"/>
    </row>
    <row r="45" spans="2:45" ht="17" thickBot="1" x14ac:dyDescent="0.25">
      <c r="B45" s="8" t="s">
        <v>19</v>
      </c>
      <c r="C45" s="35" t="s">
        <v>93</v>
      </c>
      <c r="D45" s="36" t="s">
        <v>96</v>
      </c>
      <c r="E45" s="36" t="s">
        <v>554</v>
      </c>
      <c r="F45" s="36" t="s">
        <v>102</v>
      </c>
      <c r="G45" s="35" t="s">
        <v>93</v>
      </c>
      <c r="H45" s="36" t="s">
        <v>96</v>
      </c>
      <c r="I45" s="36" t="s">
        <v>554</v>
      </c>
      <c r="J45" s="36" t="s">
        <v>102</v>
      </c>
      <c r="K45" s="35" t="s">
        <v>93</v>
      </c>
      <c r="L45" s="36" t="s">
        <v>96</v>
      </c>
      <c r="M45" s="36" t="s">
        <v>554</v>
      </c>
      <c r="N45" s="36" t="s">
        <v>102</v>
      </c>
      <c r="O45" s="36" t="s">
        <v>93</v>
      </c>
      <c r="P45" s="36" t="s">
        <v>96</v>
      </c>
      <c r="Q45" s="36" t="s">
        <v>554</v>
      </c>
      <c r="R45" s="36" t="s">
        <v>102</v>
      </c>
      <c r="S45" s="36" t="s">
        <v>93</v>
      </c>
      <c r="T45" s="36" t="s">
        <v>96</v>
      </c>
      <c r="U45" s="36" t="s">
        <v>554</v>
      </c>
      <c r="V45" s="36" t="s">
        <v>102</v>
      </c>
      <c r="W45" s="36" t="s">
        <v>93</v>
      </c>
      <c r="X45" s="36" t="s">
        <v>96</v>
      </c>
      <c r="Y45" s="36" t="s">
        <v>554</v>
      </c>
      <c r="Z45" s="36" t="s">
        <v>102</v>
      </c>
      <c r="AA45" s="36" t="s">
        <v>93</v>
      </c>
      <c r="AB45" s="36" t="s">
        <v>96</v>
      </c>
      <c r="AC45" s="36" t="s">
        <v>554</v>
      </c>
      <c r="AD45" s="36" t="s">
        <v>102</v>
      </c>
      <c r="AE45" s="36" t="s">
        <v>93</v>
      </c>
      <c r="AF45" s="36" t="s">
        <v>96</v>
      </c>
      <c r="AG45" s="36" t="s">
        <v>554</v>
      </c>
      <c r="AH45" s="36" t="s">
        <v>102</v>
      </c>
      <c r="AI45" s="36" t="s">
        <v>93</v>
      </c>
      <c r="AJ45" s="36" t="s">
        <v>96</v>
      </c>
      <c r="AK45" s="36" t="s">
        <v>554</v>
      </c>
      <c r="AL45" s="36" t="s">
        <v>102</v>
      </c>
      <c r="AM45" s="36" t="s">
        <v>93</v>
      </c>
      <c r="AN45" s="36" t="s">
        <v>96</v>
      </c>
      <c r="AO45" s="36" t="s">
        <v>554</v>
      </c>
      <c r="AP45" s="36" t="s">
        <v>102</v>
      </c>
      <c r="AQ45" s="8"/>
      <c r="AR45" s="8"/>
      <c r="AS45" s="8"/>
    </row>
    <row r="46" spans="2:45" x14ac:dyDescent="0.2">
      <c r="B46" s="31" t="s">
        <v>538</v>
      </c>
      <c r="C46" s="6">
        <v>1525663</v>
      </c>
      <c r="D46" s="6">
        <v>2810407</v>
      </c>
      <c r="E46" s="6">
        <v>2718010</v>
      </c>
      <c r="F46" s="11">
        <v>2203398</v>
      </c>
      <c r="G46" s="48">
        <v>1661655</v>
      </c>
      <c r="H46" s="48">
        <v>2632453</v>
      </c>
      <c r="I46" s="48">
        <v>1417700</v>
      </c>
      <c r="J46" s="48">
        <v>1472257</v>
      </c>
      <c r="K46" s="6">
        <v>7078382</v>
      </c>
      <c r="L46" s="6">
        <v>6447071</v>
      </c>
      <c r="M46" s="6">
        <v>3075526</v>
      </c>
      <c r="N46" s="11">
        <v>1096798</v>
      </c>
      <c r="O46" s="11">
        <v>1367229</v>
      </c>
      <c r="P46" s="11">
        <v>2142027</v>
      </c>
      <c r="Q46" s="11">
        <v>2219083</v>
      </c>
      <c r="R46" s="11">
        <v>3217129</v>
      </c>
      <c r="S46" s="11">
        <v>907967</v>
      </c>
      <c r="T46" s="11">
        <v>3304758</v>
      </c>
      <c r="U46" s="11">
        <v>1147257</v>
      </c>
      <c r="V46" s="11">
        <v>749501</v>
      </c>
      <c r="W46" s="11">
        <v>1720</v>
      </c>
      <c r="X46" s="11">
        <v>1735</v>
      </c>
      <c r="Y46" s="11">
        <v>1735</v>
      </c>
      <c r="Z46" s="11">
        <v>1804</v>
      </c>
      <c r="AA46" s="11">
        <v>1716</v>
      </c>
      <c r="AB46" s="48">
        <v>1659</v>
      </c>
      <c r="AC46" s="48">
        <v>1577</v>
      </c>
      <c r="AD46" s="11">
        <v>1747</v>
      </c>
      <c r="AE46" s="11">
        <v>1805</v>
      </c>
      <c r="AF46" s="11">
        <v>1803</v>
      </c>
      <c r="AG46" s="11">
        <v>1718</v>
      </c>
      <c r="AH46" s="11">
        <v>1698</v>
      </c>
      <c r="AI46" s="6">
        <v>4417</v>
      </c>
      <c r="AJ46" s="11">
        <v>2438</v>
      </c>
      <c r="AK46" s="11">
        <v>1834</v>
      </c>
      <c r="AL46" s="11">
        <v>1808</v>
      </c>
      <c r="AM46" s="11">
        <v>1670</v>
      </c>
      <c r="AN46" s="11">
        <v>1686</v>
      </c>
      <c r="AO46" s="11">
        <v>1627</v>
      </c>
      <c r="AP46" s="11">
        <v>1632</v>
      </c>
      <c r="AQ46" s="11"/>
      <c r="AR46" s="11"/>
      <c r="AS46" s="11"/>
    </row>
    <row r="47" spans="2:45" x14ac:dyDescent="0.2">
      <c r="B47" s="31" t="s">
        <v>543</v>
      </c>
      <c r="C47" s="6">
        <v>267122798</v>
      </c>
      <c r="D47" s="6">
        <v>273767450</v>
      </c>
      <c r="E47" s="6">
        <v>282507999</v>
      </c>
      <c r="F47" s="11">
        <v>296583860</v>
      </c>
      <c r="G47" s="48">
        <v>248895667</v>
      </c>
      <c r="H47" s="48">
        <v>256908819</v>
      </c>
      <c r="I47" s="48">
        <v>259345819</v>
      </c>
      <c r="J47" s="48">
        <v>266657565</v>
      </c>
      <c r="K47" s="6">
        <v>261339795</v>
      </c>
      <c r="L47" s="6">
        <v>265906880</v>
      </c>
      <c r="M47" s="6">
        <v>270277025</v>
      </c>
      <c r="N47" s="11">
        <v>247285433</v>
      </c>
      <c r="O47" s="11">
        <v>253251917</v>
      </c>
      <c r="P47" s="11">
        <v>251836914</v>
      </c>
      <c r="Q47" s="11">
        <v>254917931</v>
      </c>
      <c r="R47" s="11">
        <v>260114163</v>
      </c>
      <c r="S47" s="11">
        <v>242134710</v>
      </c>
      <c r="T47" s="11">
        <v>251041472</v>
      </c>
      <c r="U47" s="11">
        <v>256933913</v>
      </c>
      <c r="V47" s="11">
        <v>255825159</v>
      </c>
      <c r="W47" s="11">
        <v>13755334</v>
      </c>
      <c r="X47" s="11">
        <v>13906913</v>
      </c>
      <c r="Y47" s="11">
        <v>14426508</v>
      </c>
      <c r="Z47" s="11">
        <v>14191536</v>
      </c>
      <c r="AA47" s="48">
        <v>13276633</v>
      </c>
      <c r="AB47" s="48">
        <v>13768885</v>
      </c>
      <c r="AC47" s="48">
        <v>13583771</v>
      </c>
      <c r="AD47" s="11">
        <v>14104914</v>
      </c>
      <c r="AE47" s="11">
        <v>12878910</v>
      </c>
      <c r="AF47" s="11">
        <v>13172149</v>
      </c>
      <c r="AG47" s="11">
        <v>13349533</v>
      </c>
      <c r="AH47" s="11">
        <v>13165897</v>
      </c>
      <c r="AI47" s="6">
        <v>13136109</v>
      </c>
      <c r="AJ47" s="11">
        <v>12797735</v>
      </c>
      <c r="AK47" s="11">
        <v>12945634</v>
      </c>
      <c r="AL47" s="11">
        <v>13060943</v>
      </c>
      <c r="AM47" s="11">
        <v>3185142</v>
      </c>
      <c r="AN47" s="11">
        <v>3152613</v>
      </c>
      <c r="AO47" s="11">
        <v>4793992</v>
      </c>
      <c r="AP47" s="11">
        <v>6116166</v>
      </c>
      <c r="AQ47" s="11"/>
      <c r="AR47" s="11"/>
      <c r="AS47" s="11"/>
    </row>
    <row r="48" spans="2:45" x14ac:dyDescent="0.2">
      <c r="B48" s="31" t="s">
        <v>541</v>
      </c>
      <c r="C48" s="6">
        <v>785365</v>
      </c>
      <c r="D48" s="6">
        <v>964833</v>
      </c>
      <c r="E48" s="6">
        <v>810390</v>
      </c>
      <c r="F48" s="11">
        <v>544567</v>
      </c>
      <c r="G48" s="48">
        <v>775729</v>
      </c>
      <c r="H48" s="48">
        <v>384912</v>
      </c>
      <c r="I48" s="48">
        <v>538397</v>
      </c>
      <c r="J48" s="48">
        <v>420562</v>
      </c>
      <c r="K48" s="6">
        <v>192804</v>
      </c>
      <c r="L48" s="6">
        <v>218474</v>
      </c>
      <c r="M48" s="6">
        <v>128624</v>
      </c>
      <c r="N48" s="11">
        <v>454140</v>
      </c>
      <c r="O48" s="11">
        <v>501360</v>
      </c>
      <c r="P48" s="11">
        <v>474795</v>
      </c>
      <c r="Q48" s="11">
        <v>281605</v>
      </c>
      <c r="R48" s="11">
        <v>196071</v>
      </c>
      <c r="S48" s="11">
        <v>319049</v>
      </c>
      <c r="T48" s="11">
        <v>357457</v>
      </c>
      <c r="U48" s="11">
        <v>476666</v>
      </c>
      <c r="V48" s="11">
        <v>487052</v>
      </c>
      <c r="W48" s="11">
        <v>216</v>
      </c>
      <c r="X48" s="11">
        <v>346</v>
      </c>
      <c r="Y48" s="11">
        <v>730</v>
      </c>
      <c r="Z48" s="11">
        <v>23876</v>
      </c>
      <c r="AA48" s="11">
        <v>2620</v>
      </c>
      <c r="AB48" s="11">
        <v>2905</v>
      </c>
      <c r="AC48" s="11">
        <v>181</v>
      </c>
      <c r="AD48" s="11">
        <v>136</v>
      </c>
      <c r="AE48" s="11">
        <v>1446</v>
      </c>
      <c r="AF48" s="11">
        <v>136</v>
      </c>
      <c r="AG48" s="11">
        <v>68</v>
      </c>
      <c r="AH48" s="11">
        <v>623</v>
      </c>
      <c r="AI48" s="6">
        <v>1934</v>
      </c>
      <c r="AJ48" s="11">
        <v>254</v>
      </c>
      <c r="AK48" s="11">
        <v>805</v>
      </c>
      <c r="AL48" s="11">
        <v>1393</v>
      </c>
      <c r="AM48" s="11">
        <v>0</v>
      </c>
      <c r="AN48" s="11">
        <v>0</v>
      </c>
      <c r="AO48" s="11">
        <v>0</v>
      </c>
      <c r="AP48" s="11">
        <v>0</v>
      </c>
      <c r="AQ48" s="11"/>
      <c r="AR48" s="11"/>
      <c r="AS48" s="11"/>
    </row>
    <row r="49" spans="2:47" x14ac:dyDescent="0.2">
      <c r="B49" s="31" t="s">
        <v>531</v>
      </c>
      <c r="C49" s="30">
        <f>SUM(C46:C48)</f>
        <v>269433826</v>
      </c>
      <c r="D49" s="30">
        <f t="shared" ref="D49:F49" si="11">SUM(D46:D48)</f>
        <v>277542690</v>
      </c>
      <c r="E49" s="30">
        <f t="shared" si="11"/>
        <v>286036399</v>
      </c>
      <c r="F49" s="30">
        <f t="shared" si="11"/>
        <v>299331825</v>
      </c>
      <c r="G49" s="30">
        <f>SUM(G46:G48)</f>
        <v>251333051</v>
      </c>
      <c r="H49" s="30">
        <f t="shared" ref="H49:J49" si="12">SUM(H46:H48)</f>
        <v>259926184</v>
      </c>
      <c r="I49" s="30">
        <f t="shared" si="12"/>
        <v>261301916</v>
      </c>
      <c r="J49" s="30">
        <f t="shared" si="12"/>
        <v>268550384</v>
      </c>
      <c r="K49" s="30">
        <f>SUM(K46:K48)</f>
        <v>268610981</v>
      </c>
      <c r="L49" s="30">
        <f t="shared" ref="L49:AP49" si="13">SUM(L46:L48)</f>
        <v>272572425</v>
      </c>
      <c r="M49" s="30">
        <f t="shared" si="13"/>
        <v>273481175</v>
      </c>
      <c r="N49" s="30">
        <f t="shared" si="13"/>
        <v>248836371</v>
      </c>
      <c r="O49" s="30">
        <f t="shared" si="13"/>
        <v>255120506</v>
      </c>
      <c r="P49" s="30">
        <f t="shared" si="13"/>
        <v>254453736</v>
      </c>
      <c r="Q49" s="30">
        <f t="shared" si="13"/>
        <v>257418619</v>
      </c>
      <c r="R49" s="30">
        <f t="shared" si="13"/>
        <v>263527363</v>
      </c>
      <c r="S49" s="30">
        <f t="shared" si="13"/>
        <v>243361726</v>
      </c>
      <c r="T49" s="30">
        <f t="shared" si="13"/>
        <v>254703687</v>
      </c>
      <c r="U49" s="30">
        <f t="shared" si="13"/>
        <v>258557836</v>
      </c>
      <c r="V49" s="30">
        <f t="shared" si="13"/>
        <v>257061712</v>
      </c>
      <c r="W49" s="30">
        <f t="shared" si="13"/>
        <v>13757270</v>
      </c>
      <c r="X49" s="30">
        <f t="shared" si="13"/>
        <v>13908994</v>
      </c>
      <c r="Y49" s="30">
        <f t="shared" si="13"/>
        <v>14428973</v>
      </c>
      <c r="Z49" s="30">
        <f t="shared" si="13"/>
        <v>14217216</v>
      </c>
      <c r="AA49" s="30">
        <f t="shared" si="13"/>
        <v>13280969</v>
      </c>
      <c r="AB49" s="30">
        <f t="shared" si="13"/>
        <v>13773449</v>
      </c>
      <c r="AC49" s="30">
        <f t="shared" si="13"/>
        <v>13585529</v>
      </c>
      <c r="AD49" s="30">
        <f t="shared" si="13"/>
        <v>14106797</v>
      </c>
      <c r="AE49" s="30">
        <f t="shared" si="13"/>
        <v>12882161</v>
      </c>
      <c r="AF49" s="30">
        <f t="shared" si="13"/>
        <v>13174088</v>
      </c>
      <c r="AG49" s="30">
        <f t="shared" si="13"/>
        <v>13351319</v>
      </c>
      <c r="AH49" s="30">
        <f t="shared" si="13"/>
        <v>13168218</v>
      </c>
      <c r="AI49" s="30">
        <f t="shared" si="13"/>
        <v>13142460</v>
      </c>
      <c r="AJ49" s="30">
        <f t="shared" si="13"/>
        <v>12800427</v>
      </c>
      <c r="AK49" s="30">
        <f t="shared" si="13"/>
        <v>12948273</v>
      </c>
      <c r="AL49" s="30">
        <f t="shared" si="13"/>
        <v>13064144</v>
      </c>
      <c r="AM49" s="30">
        <f t="shared" si="13"/>
        <v>3186812</v>
      </c>
      <c r="AN49" s="30">
        <f t="shared" si="13"/>
        <v>3154299</v>
      </c>
      <c r="AO49" s="30">
        <f>SUM(AO46:AO48)</f>
        <v>4795619</v>
      </c>
      <c r="AP49" s="30">
        <f t="shared" si="13"/>
        <v>6117798</v>
      </c>
      <c r="AQ49" s="11"/>
      <c r="AR49" s="11"/>
      <c r="AS49" s="11"/>
    </row>
    <row r="50" spans="2:47" ht="17" thickBot="1" x14ac:dyDescent="0.25">
      <c r="B50" s="31"/>
      <c r="F50" s="11"/>
      <c r="J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</row>
    <row r="51" spans="2:47" x14ac:dyDescent="0.2">
      <c r="B51" s="8"/>
      <c r="C51" s="58">
        <v>2023</v>
      </c>
      <c r="D51" s="59"/>
      <c r="E51" s="59"/>
      <c r="F51" s="59"/>
      <c r="G51" s="58">
        <v>2022</v>
      </c>
      <c r="H51" s="59"/>
      <c r="I51" s="59"/>
      <c r="J51" s="59"/>
      <c r="K51" s="58">
        <v>2021</v>
      </c>
      <c r="L51" s="59"/>
      <c r="M51" s="59"/>
      <c r="N51" s="59"/>
      <c r="O51" s="60">
        <v>2020</v>
      </c>
      <c r="P51" s="60"/>
      <c r="Q51" s="60"/>
      <c r="R51" s="60"/>
      <c r="S51" s="57">
        <v>2019</v>
      </c>
      <c r="T51" s="57"/>
      <c r="U51" s="57"/>
      <c r="V51" s="57"/>
      <c r="W51" s="59" t="s">
        <v>688</v>
      </c>
      <c r="X51" s="59"/>
      <c r="Y51" s="59"/>
      <c r="Z51" s="59"/>
      <c r="AA51" s="59" t="s">
        <v>689</v>
      </c>
      <c r="AB51" s="59"/>
      <c r="AC51" s="59"/>
      <c r="AD51" s="59"/>
      <c r="AE51" s="59" t="s">
        <v>178</v>
      </c>
      <c r="AF51" s="59"/>
      <c r="AG51" s="59"/>
      <c r="AH51" s="59"/>
      <c r="AI51" s="60" t="s">
        <v>179</v>
      </c>
      <c r="AJ51" s="60"/>
      <c r="AK51" s="60"/>
      <c r="AL51" s="60"/>
      <c r="AM51" s="57" t="s">
        <v>625</v>
      </c>
      <c r="AN51" s="57"/>
      <c r="AO51" s="57"/>
      <c r="AP51" s="57"/>
      <c r="AQ51" s="11"/>
      <c r="AR51" s="11"/>
      <c r="AS51" s="11"/>
    </row>
    <row r="52" spans="2:47" ht="17" thickBot="1" x14ac:dyDescent="0.25">
      <c r="B52" s="8" t="s">
        <v>21</v>
      </c>
      <c r="C52" s="35" t="s">
        <v>93</v>
      </c>
      <c r="D52" s="36" t="s">
        <v>96</v>
      </c>
      <c r="E52" s="36" t="s">
        <v>554</v>
      </c>
      <c r="F52" s="36" t="s">
        <v>102</v>
      </c>
      <c r="G52" s="35" t="s">
        <v>93</v>
      </c>
      <c r="H52" s="36" t="s">
        <v>96</v>
      </c>
      <c r="I52" s="36" t="s">
        <v>554</v>
      </c>
      <c r="J52" s="36" t="s">
        <v>102</v>
      </c>
      <c r="K52" s="35" t="s">
        <v>93</v>
      </c>
      <c r="L52" s="36" t="s">
        <v>96</v>
      </c>
      <c r="M52" s="36" t="s">
        <v>554</v>
      </c>
      <c r="N52" s="36" t="s">
        <v>102</v>
      </c>
      <c r="O52" s="36" t="s">
        <v>93</v>
      </c>
      <c r="P52" s="36" t="s">
        <v>96</v>
      </c>
      <c r="Q52" s="36" t="s">
        <v>554</v>
      </c>
      <c r="R52" s="36" t="s">
        <v>102</v>
      </c>
      <c r="S52" s="36" t="s">
        <v>93</v>
      </c>
      <c r="T52" s="36" t="s">
        <v>96</v>
      </c>
      <c r="U52" s="36" t="s">
        <v>554</v>
      </c>
      <c r="V52" s="36" t="s">
        <v>102</v>
      </c>
      <c r="W52" s="36" t="s">
        <v>93</v>
      </c>
      <c r="X52" s="36" t="s">
        <v>96</v>
      </c>
      <c r="Y52" s="36" t="s">
        <v>554</v>
      </c>
      <c r="Z52" s="36" t="s">
        <v>102</v>
      </c>
      <c r="AA52" s="36" t="s">
        <v>93</v>
      </c>
      <c r="AB52" s="36" t="s">
        <v>96</v>
      </c>
      <c r="AC52" s="36" t="s">
        <v>554</v>
      </c>
      <c r="AD52" s="36" t="s">
        <v>102</v>
      </c>
      <c r="AE52" s="36" t="s">
        <v>93</v>
      </c>
      <c r="AF52" s="36" t="s">
        <v>96</v>
      </c>
      <c r="AG52" s="36" t="s">
        <v>554</v>
      </c>
      <c r="AH52" s="36" t="s">
        <v>102</v>
      </c>
      <c r="AI52" s="36" t="s">
        <v>93</v>
      </c>
      <c r="AJ52" s="36" t="s">
        <v>96</v>
      </c>
      <c r="AK52" s="36" t="s">
        <v>554</v>
      </c>
      <c r="AL52" s="36" t="s">
        <v>102</v>
      </c>
      <c r="AM52" s="36" t="s">
        <v>93</v>
      </c>
      <c r="AN52" s="36" t="s">
        <v>96</v>
      </c>
      <c r="AO52" s="36" t="s">
        <v>554</v>
      </c>
      <c r="AP52" s="36" t="s">
        <v>102</v>
      </c>
      <c r="AQ52" s="2"/>
      <c r="AR52" s="2"/>
      <c r="AS52" s="2"/>
    </row>
    <row r="53" spans="2:47" x14ac:dyDescent="0.2">
      <c r="B53" s="31" t="s">
        <v>538</v>
      </c>
      <c r="C53" s="6">
        <v>40182502</v>
      </c>
      <c r="D53" s="6">
        <v>27364451</v>
      </c>
      <c r="E53" s="6">
        <v>34274184</v>
      </c>
      <c r="F53" s="48">
        <v>36606090</v>
      </c>
      <c r="G53" s="48">
        <v>22383055</v>
      </c>
      <c r="H53" s="48">
        <v>21716129</v>
      </c>
      <c r="I53" s="48">
        <v>30884413</v>
      </c>
      <c r="J53" s="48">
        <v>47809985</v>
      </c>
      <c r="K53" s="6">
        <v>25553232</v>
      </c>
      <c r="L53" s="6">
        <v>23081611</v>
      </c>
      <c r="M53" s="6">
        <v>27589662</v>
      </c>
      <c r="N53" s="6">
        <v>25441661</v>
      </c>
      <c r="O53" s="6">
        <v>17082366</v>
      </c>
      <c r="P53" s="6">
        <v>12578647</v>
      </c>
      <c r="Q53" s="6">
        <v>17705122</v>
      </c>
      <c r="R53" s="6">
        <v>26499072</v>
      </c>
      <c r="S53" s="6">
        <v>16500743</v>
      </c>
      <c r="T53" s="6">
        <v>18142665</v>
      </c>
      <c r="U53" s="6">
        <v>12753595</v>
      </c>
      <c r="V53" s="6">
        <v>12563490</v>
      </c>
      <c r="W53" s="6">
        <v>33907</v>
      </c>
      <c r="X53" s="6">
        <v>22889</v>
      </c>
      <c r="Y53" s="6">
        <v>70404</v>
      </c>
      <c r="Z53" s="48">
        <v>32205</v>
      </c>
      <c r="AA53" s="6">
        <v>19643</v>
      </c>
      <c r="AB53" s="6">
        <v>18226</v>
      </c>
      <c r="AC53" s="6">
        <v>21718</v>
      </c>
      <c r="AD53" s="6">
        <v>20285</v>
      </c>
      <c r="AE53" s="6">
        <v>38934</v>
      </c>
      <c r="AF53" s="6">
        <v>49029</v>
      </c>
      <c r="AG53" s="6">
        <v>22902</v>
      </c>
      <c r="AH53" s="6">
        <v>24043</v>
      </c>
      <c r="AI53" s="6">
        <v>11076</v>
      </c>
      <c r="AJ53" s="6">
        <v>9962</v>
      </c>
      <c r="AK53" s="6">
        <v>37976</v>
      </c>
      <c r="AL53" s="6">
        <v>77112</v>
      </c>
      <c r="AM53" s="6">
        <v>21910</v>
      </c>
      <c r="AN53" s="6">
        <v>13045</v>
      </c>
      <c r="AO53" s="6">
        <v>5389</v>
      </c>
      <c r="AP53" s="6">
        <v>5193</v>
      </c>
      <c r="AQ53" s="6"/>
      <c r="AR53" s="6"/>
      <c r="AS53" s="6"/>
    </row>
    <row r="54" spans="2:47" x14ac:dyDescent="0.2">
      <c r="B54" s="31" t="s">
        <v>539</v>
      </c>
      <c r="C54" s="6">
        <v>30485002</v>
      </c>
      <c r="D54" s="6">
        <v>50565431</v>
      </c>
      <c r="E54" s="48">
        <v>50936918</v>
      </c>
      <c r="F54" s="48">
        <v>73888157</v>
      </c>
      <c r="G54" s="48">
        <v>54920849</v>
      </c>
      <c r="H54" s="48">
        <v>41873642</v>
      </c>
      <c r="I54" s="48">
        <v>56595142</v>
      </c>
      <c r="J54" s="48">
        <v>95324112</v>
      </c>
      <c r="K54" s="6">
        <v>116036071</v>
      </c>
      <c r="L54" s="6">
        <v>100478425</v>
      </c>
      <c r="M54" s="6">
        <v>77063530</v>
      </c>
      <c r="N54" s="6">
        <v>47785191</v>
      </c>
      <c r="O54" s="6">
        <v>67879028</v>
      </c>
      <c r="P54" s="6">
        <v>122524457</v>
      </c>
      <c r="Q54" s="6">
        <v>125720548</v>
      </c>
      <c r="R54" s="6">
        <v>82442619</v>
      </c>
      <c r="S54" s="6">
        <v>41610469</v>
      </c>
      <c r="T54" s="6">
        <v>43362500</v>
      </c>
      <c r="U54" s="6">
        <v>65350358</v>
      </c>
      <c r="V54" s="6">
        <v>37616435</v>
      </c>
      <c r="W54" s="6">
        <v>1798</v>
      </c>
      <c r="X54" s="6">
        <v>1495</v>
      </c>
      <c r="Y54" s="6">
        <v>1317</v>
      </c>
      <c r="Z54" s="48">
        <v>957</v>
      </c>
      <c r="AA54" s="6">
        <v>1643</v>
      </c>
      <c r="AB54" s="6">
        <v>2245</v>
      </c>
      <c r="AC54" s="6">
        <v>2448</v>
      </c>
      <c r="AD54" s="6">
        <v>3601</v>
      </c>
      <c r="AE54" s="6">
        <v>48192</v>
      </c>
      <c r="AF54" s="6">
        <v>2938</v>
      </c>
      <c r="AG54" s="6">
        <v>2058</v>
      </c>
      <c r="AH54" s="6">
        <v>1675</v>
      </c>
      <c r="AI54" s="6">
        <v>57026</v>
      </c>
      <c r="AJ54" s="6">
        <v>50417</v>
      </c>
      <c r="AK54" s="6">
        <v>46977</v>
      </c>
      <c r="AL54" s="6">
        <v>46772</v>
      </c>
      <c r="AM54" s="6">
        <v>48963</v>
      </c>
      <c r="AN54" s="6">
        <v>49273</v>
      </c>
      <c r="AO54" s="6">
        <v>47522</v>
      </c>
      <c r="AP54" s="6">
        <v>47675</v>
      </c>
      <c r="AQ54" s="6"/>
      <c r="AR54" s="6"/>
      <c r="AS54" s="6"/>
    </row>
    <row r="55" spans="2:47" x14ac:dyDescent="0.2">
      <c r="B55" s="31" t="s">
        <v>546</v>
      </c>
      <c r="C55" s="6">
        <v>34938161</v>
      </c>
      <c r="D55" s="6">
        <v>29141422</v>
      </c>
      <c r="E55" s="48">
        <v>27160236</v>
      </c>
      <c r="F55" s="48">
        <v>26044553</v>
      </c>
      <c r="G55" s="48">
        <v>26465414</v>
      </c>
      <c r="H55" s="48">
        <v>27135577</v>
      </c>
      <c r="I55" s="48">
        <v>32390306</v>
      </c>
      <c r="J55" s="48">
        <v>33793264</v>
      </c>
      <c r="K55" s="6">
        <v>24210452</v>
      </c>
      <c r="L55" s="6">
        <v>24486706</v>
      </c>
      <c r="M55" s="6">
        <v>27696813</v>
      </c>
      <c r="N55" s="6">
        <v>29298268</v>
      </c>
      <c r="O55" s="6">
        <v>25805661</v>
      </c>
      <c r="P55" s="6">
        <v>23749435</v>
      </c>
      <c r="Q55" s="6">
        <v>27078906</v>
      </c>
      <c r="R55" s="6">
        <v>29995864</v>
      </c>
      <c r="S55" s="6">
        <v>27243856</v>
      </c>
      <c r="T55" s="6">
        <v>25199461</v>
      </c>
      <c r="U55" s="6">
        <v>29971370</v>
      </c>
      <c r="V55" s="6">
        <v>30415702</v>
      </c>
      <c r="W55" s="6">
        <v>1684127</v>
      </c>
      <c r="X55" s="6">
        <v>2285397</v>
      </c>
      <c r="Y55" s="48">
        <v>2234821</v>
      </c>
      <c r="Z55" s="48">
        <v>1494653</v>
      </c>
      <c r="AA55" s="48">
        <v>1398284</v>
      </c>
      <c r="AB55" s="48">
        <v>1443922</v>
      </c>
      <c r="AC55" s="48">
        <v>1542251</v>
      </c>
      <c r="AD55" s="6">
        <v>1604705</v>
      </c>
      <c r="AE55" s="6">
        <v>1391413</v>
      </c>
      <c r="AF55" s="6">
        <v>1399733</v>
      </c>
      <c r="AG55" s="6">
        <v>1398375</v>
      </c>
      <c r="AH55" s="6">
        <v>1480721</v>
      </c>
      <c r="AI55" s="6">
        <v>1531832</v>
      </c>
      <c r="AJ55" s="6">
        <v>1418734</v>
      </c>
      <c r="AK55" s="6">
        <v>1501927</v>
      </c>
      <c r="AL55" s="6">
        <v>1687776</v>
      </c>
      <c r="AM55" s="6">
        <v>1635585</v>
      </c>
      <c r="AN55" s="6">
        <v>1494607</v>
      </c>
      <c r="AO55" s="6">
        <v>1401067</v>
      </c>
      <c r="AP55" s="6">
        <v>1311591</v>
      </c>
      <c r="AQ55" s="6"/>
      <c r="AR55" s="6"/>
      <c r="AS55" s="6"/>
    </row>
    <row r="56" spans="2:47" x14ac:dyDescent="0.2">
      <c r="B56" s="31" t="s">
        <v>543</v>
      </c>
      <c r="C56" s="6">
        <v>1172883517</v>
      </c>
      <c r="D56" s="6">
        <v>1238806037</v>
      </c>
      <c r="E56" s="48">
        <v>1280914677</v>
      </c>
      <c r="F56" s="48">
        <v>1359832195</v>
      </c>
      <c r="G56" s="48">
        <v>1047701015</v>
      </c>
      <c r="H56" s="48">
        <v>1111777871</v>
      </c>
      <c r="I56" s="48">
        <v>1138941125</v>
      </c>
      <c r="J56" s="48">
        <v>1172599882</v>
      </c>
      <c r="K56" s="6">
        <v>962266734</v>
      </c>
      <c r="L56" s="6">
        <v>991782579</v>
      </c>
      <c r="M56" s="6">
        <v>999006418</v>
      </c>
      <c r="N56" s="6">
        <v>1026224827</v>
      </c>
      <c r="O56" s="6">
        <v>881384594</v>
      </c>
      <c r="P56" s="6">
        <v>851510185</v>
      </c>
      <c r="Q56" s="6">
        <v>852820011</v>
      </c>
      <c r="R56" s="6">
        <v>942067687</v>
      </c>
      <c r="S56" s="6">
        <v>768093419</v>
      </c>
      <c r="T56" s="6">
        <v>812256423</v>
      </c>
      <c r="U56" s="6">
        <v>818608027</v>
      </c>
      <c r="V56" s="6">
        <v>885835237</v>
      </c>
      <c r="W56" s="6">
        <v>63276114</v>
      </c>
      <c r="X56" s="6">
        <v>61981013</v>
      </c>
      <c r="Y56" s="48">
        <v>57534987</v>
      </c>
      <c r="Z56" s="48">
        <v>53098619</v>
      </c>
      <c r="AA56" s="48">
        <v>69370603</v>
      </c>
      <c r="AB56" s="48">
        <v>68672494</v>
      </c>
      <c r="AC56" s="48">
        <v>68846386</v>
      </c>
      <c r="AD56" s="6">
        <v>64612645</v>
      </c>
      <c r="AE56" s="6">
        <v>67269278</v>
      </c>
      <c r="AF56" s="6">
        <v>68020566</v>
      </c>
      <c r="AG56" s="6">
        <v>68528267</v>
      </c>
      <c r="AH56" s="6">
        <v>68588680</v>
      </c>
      <c r="AI56" s="6">
        <v>53871929</v>
      </c>
      <c r="AJ56" s="6">
        <v>55183318</v>
      </c>
      <c r="AK56" s="6">
        <v>58880056</v>
      </c>
      <c r="AL56" s="6">
        <v>65016458</v>
      </c>
      <c r="AM56" s="6">
        <v>3039669</v>
      </c>
      <c r="AN56" s="6">
        <v>31338258</v>
      </c>
      <c r="AO56" s="6">
        <v>31989952</v>
      </c>
      <c r="AP56" s="6">
        <v>29988393</v>
      </c>
      <c r="AQ56" s="6"/>
      <c r="AR56" s="6"/>
      <c r="AS56" s="6"/>
    </row>
    <row r="57" spans="2:47" x14ac:dyDescent="0.2">
      <c r="B57" s="31" t="s">
        <v>545</v>
      </c>
      <c r="C57" s="6">
        <v>26920818</v>
      </c>
      <c r="D57" s="6">
        <v>27749559</v>
      </c>
      <c r="E57" s="48">
        <v>29631033</v>
      </c>
      <c r="F57" s="48">
        <v>32749796</v>
      </c>
      <c r="G57" s="48">
        <v>19964189</v>
      </c>
      <c r="H57" s="48">
        <v>20902361</v>
      </c>
      <c r="I57" s="48">
        <v>22851286</v>
      </c>
      <c r="J57" s="48">
        <v>23757727</v>
      </c>
      <c r="K57" s="6">
        <v>19082131</v>
      </c>
      <c r="L57" s="6">
        <v>18645583</v>
      </c>
      <c r="M57" s="6">
        <v>18350334</v>
      </c>
      <c r="N57" s="6">
        <v>19108322</v>
      </c>
      <c r="O57" s="6">
        <v>18009491</v>
      </c>
      <c r="P57" s="6">
        <v>16870968</v>
      </c>
      <c r="Q57" s="6">
        <v>17626520</v>
      </c>
      <c r="R57" s="6">
        <v>19078408</v>
      </c>
      <c r="S57" s="6">
        <v>19023304</v>
      </c>
      <c r="T57" s="6">
        <v>19911115</v>
      </c>
      <c r="U57" s="6">
        <v>20407866</v>
      </c>
      <c r="V57" s="6">
        <v>18565706</v>
      </c>
      <c r="W57" s="6">
        <v>717018</v>
      </c>
      <c r="X57" s="6">
        <v>764505</v>
      </c>
      <c r="Y57" s="48">
        <v>736902</v>
      </c>
      <c r="Z57" s="48">
        <v>713044</v>
      </c>
      <c r="AA57" s="6">
        <v>615267</v>
      </c>
      <c r="AB57" s="6">
        <v>586786</v>
      </c>
      <c r="AC57" s="6">
        <v>594706</v>
      </c>
      <c r="AD57" s="6">
        <v>610361</v>
      </c>
      <c r="AE57" s="6">
        <v>469658</v>
      </c>
      <c r="AF57" s="6">
        <v>493967</v>
      </c>
      <c r="AG57" s="6">
        <v>492083</v>
      </c>
      <c r="AH57" s="6">
        <v>475015</v>
      </c>
      <c r="AI57" s="6">
        <v>352671</v>
      </c>
      <c r="AJ57" s="6">
        <v>489424</v>
      </c>
      <c r="AK57" s="6">
        <v>392362</v>
      </c>
      <c r="AL57" s="6">
        <v>428509</v>
      </c>
      <c r="AM57" s="6">
        <v>393255</v>
      </c>
      <c r="AN57" s="6">
        <v>381907</v>
      </c>
      <c r="AO57" s="6">
        <v>393028</v>
      </c>
      <c r="AP57" s="6">
        <v>354618</v>
      </c>
      <c r="AQ57" s="6"/>
      <c r="AR57" s="6"/>
      <c r="AS57" s="6"/>
    </row>
    <row r="58" spans="2:47" x14ac:dyDescent="0.2">
      <c r="B58" s="31" t="s">
        <v>541</v>
      </c>
      <c r="C58" s="6">
        <v>12086591</v>
      </c>
      <c r="D58" s="6">
        <v>9528060</v>
      </c>
      <c r="E58" s="48">
        <v>12833550</v>
      </c>
      <c r="F58" s="48">
        <v>14793888</v>
      </c>
      <c r="G58" s="48">
        <v>10773760</v>
      </c>
      <c r="H58" s="48">
        <v>12840531</v>
      </c>
      <c r="I58" s="48">
        <v>8711678</v>
      </c>
      <c r="J58" s="48">
        <v>11781581</v>
      </c>
      <c r="K58" s="6">
        <v>10268472</v>
      </c>
      <c r="L58" s="6">
        <v>8662642</v>
      </c>
      <c r="M58" s="6">
        <v>8235509</v>
      </c>
      <c r="N58" s="6">
        <v>10273444</v>
      </c>
      <c r="O58" s="6">
        <v>11602641</v>
      </c>
      <c r="P58" s="6">
        <v>9464838</v>
      </c>
      <c r="Q58" s="6">
        <v>9621329</v>
      </c>
      <c r="R58" s="6">
        <v>10232855</v>
      </c>
      <c r="S58" s="6">
        <v>11153229</v>
      </c>
      <c r="T58" s="6">
        <v>7872420</v>
      </c>
      <c r="U58" s="6">
        <v>9780164</v>
      </c>
      <c r="V58" s="6">
        <v>10279839</v>
      </c>
      <c r="W58" s="6">
        <v>66058</v>
      </c>
      <c r="X58" s="6">
        <v>167468</v>
      </c>
      <c r="Y58" s="6">
        <v>210668</v>
      </c>
      <c r="Z58" s="48">
        <v>122212</v>
      </c>
      <c r="AA58" s="6">
        <v>203826</v>
      </c>
      <c r="AB58" s="6">
        <v>218860</v>
      </c>
      <c r="AC58" s="6">
        <v>154744</v>
      </c>
      <c r="AD58" s="6">
        <v>61963</v>
      </c>
      <c r="AE58" s="6">
        <v>127021</v>
      </c>
      <c r="AF58" s="6">
        <v>160720</v>
      </c>
      <c r="AG58" s="6">
        <v>103188</v>
      </c>
      <c r="AH58" s="6">
        <v>196693</v>
      </c>
      <c r="AI58" s="6">
        <v>257442</v>
      </c>
      <c r="AJ58" s="6">
        <v>246152</v>
      </c>
      <c r="AK58" s="6">
        <v>119039</v>
      </c>
      <c r="AL58" s="6">
        <v>123609</v>
      </c>
      <c r="AM58" s="6">
        <v>239737</v>
      </c>
      <c r="AN58" s="6">
        <v>149861</v>
      </c>
      <c r="AO58" s="6">
        <v>577474</v>
      </c>
      <c r="AP58" s="6">
        <v>221804</v>
      </c>
      <c r="AQ58" s="6"/>
      <c r="AR58" s="6"/>
      <c r="AS58" s="6"/>
    </row>
    <row r="59" spans="2:47" x14ac:dyDescent="0.2">
      <c r="B59" s="31" t="s">
        <v>531</v>
      </c>
      <c r="C59" s="30">
        <f t="shared" ref="C59:E59" si="14">SUM(C53:C58)</f>
        <v>1317496591</v>
      </c>
      <c r="D59" s="30">
        <f t="shared" si="14"/>
        <v>1383154960</v>
      </c>
      <c r="E59" s="30">
        <f t="shared" si="14"/>
        <v>1435750598</v>
      </c>
      <c r="F59" s="30">
        <f>SUM(F53:F58)</f>
        <v>1543914679</v>
      </c>
      <c r="G59" s="30">
        <f t="shared" ref="G59:I59" si="15">SUM(G53:G58)</f>
        <v>1182208282</v>
      </c>
      <c r="H59" s="30">
        <f t="shared" si="15"/>
        <v>1236246111</v>
      </c>
      <c r="I59" s="30">
        <f t="shared" si="15"/>
        <v>1290373950</v>
      </c>
      <c r="J59" s="30">
        <f>SUM(J53:J58)</f>
        <v>1385066551</v>
      </c>
      <c r="K59" s="30">
        <f t="shared" ref="K59:M59" si="16">SUM(K53:K58)</f>
        <v>1157417092</v>
      </c>
      <c r="L59" s="30">
        <f t="shared" si="16"/>
        <v>1167137546</v>
      </c>
      <c r="M59" s="30">
        <f t="shared" si="16"/>
        <v>1157942266</v>
      </c>
      <c r="N59" s="30">
        <f>SUM(N53:N58)</f>
        <v>1158131713</v>
      </c>
      <c r="O59" s="30">
        <f>SUM(O53:O58)</f>
        <v>1021763781</v>
      </c>
      <c r="P59" s="30">
        <f t="shared" ref="P59:R59" si="17">SUM(P53:P58)</f>
        <v>1036698530</v>
      </c>
      <c r="Q59" s="30">
        <f t="shared" si="17"/>
        <v>1050572436</v>
      </c>
      <c r="R59" s="30">
        <f t="shared" si="17"/>
        <v>1110316505</v>
      </c>
      <c r="S59" s="30">
        <f>SUM(S53:S58)</f>
        <v>883625020</v>
      </c>
      <c r="T59" s="30">
        <f t="shared" ref="T59:AP59" si="18">SUM(T53:T58)</f>
        <v>926744584</v>
      </c>
      <c r="U59" s="30">
        <f t="shared" si="18"/>
        <v>956871380</v>
      </c>
      <c r="V59" s="30">
        <f t="shared" si="18"/>
        <v>995276409</v>
      </c>
      <c r="W59" s="30">
        <f t="shared" si="18"/>
        <v>65779022</v>
      </c>
      <c r="X59" s="30">
        <f t="shared" si="18"/>
        <v>65222767</v>
      </c>
      <c r="Y59" s="30">
        <f t="shared" si="18"/>
        <v>60789099</v>
      </c>
      <c r="Z59" s="30">
        <f t="shared" si="18"/>
        <v>55461690</v>
      </c>
      <c r="AA59" s="30">
        <f t="shared" si="18"/>
        <v>71609266</v>
      </c>
      <c r="AB59" s="30">
        <f t="shared" si="18"/>
        <v>70942533</v>
      </c>
      <c r="AC59" s="30">
        <f t="shared" si="18"/>
        <v>71162253</v>
      </c>
      <c r="AD59" s="30">
        <f>SUM(AD53:AD58)</f>
        <v>66913560</v>
      </c>
      <c r="AE59" s="30">
        <f t="shared" si="18"/>
        <v>69344496</v>
      </c>
      <c r="AF59" s="30">
        <f t="shared" si="18"/>
        <v>70126953</v>
      </c>
      <c r="AG59" s="30">
        <f t="shared" si="18"/>
        <v>70546873</v>
      </c>
      <c r="AH59" s="30">
        <f t="shared" si="18"/>
        <v>70766827</v>
      </c>
      <c r="AI59" s="30">
        <f t="shared" si="18"/>
        <v>56081976</v>
      </c>
      <c r="AJ59" s="30">
        <f t="shared" si="18"/>
        <v>57398007</v>
      </c>
      <c r="AK59" s="30">
        <f t="shared" si="18"/>
        <v>60978337</v>
      </c>
      <c r="AL59" s="30">
        <f t="shared" si="18"/>
        <v>67380236</v>
      </c>
      <c r="AM59" s="30">
        <f t="shared" si="18"/>
        <v>5379119</v>
      </c>
      <c r="AN59" s="30">
        <f t="shared" si="18"/>
        <v>33426951</v>
      </c>
      <c r="AO59" s="30">
        <f t="shared" si="18"/>
        <v>34414432</v>
      </c>
      <c r="AP59" s="30">
        <f t="shared" si="18"/>
        <v>31929274</v>
      </c>
      <c r="AQ59" s="6"/>
      <c r="AR59" s="6"/>
      <c r="AS59" s="6"/>
    </row>
    <row r="60" spans="2:47" x14ac:dyDescent="0.2"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2:47" x14ac:dyDescent="0.2"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2:47" x14ac:dyDescent="0.2"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2:47" x14ac:dyDescent="0.2"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2:47" x14ac:dyDescent="0.2"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1:47" x14ac:dyDescent="0.2"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1:47" x14ac:dyDescent="0.2"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1:47" x14ac:dyDescent="0.2"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1:47" x14ac:dyDescent="0.2"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1:47" x14ac:dyDescent="0.2"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1:47" x14ac:dyDescent="0.2"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1:47" x14ac:dyDescent="0.2"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1:47" x14ac:dyDescent="0.2"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</sheetData>
  <mergeCells count="50">
    <mergeCell ref="AM51:AP51"/>
    <mergeCell ref="K51:N51"/>
    <mergeCell ref="O51:R51"/>
    <mergeCell ref="S51:V51"/>
    <mergeCell ref="AE51:AH51"/>
    <mergeCell ref="AI51:AL51"/>
    <mergeCell ref="W51:Z51"/>
    <mergeCell ref="AA51:AD51"/>
    <mergeCell ref="AM33:AP33"/>
    <mergeCell ref="K44:N44"/>
    <mergeCell ref="O44:R44"/>
    <mergeCell ref="S44:V44"/>
    <mergeCell ref="AE44:AH44"/>
    <mergeCell ref="AI44:AL44"/>
    <mergeCell ref="AM44:AP44"/>
    <mergeCell ref="K33:N33"/>
    <mergeCell ref="O33:R33"/>
    <mergeCell ref="S33:V33"/>
    <mergeCell ref="AE33:AH33"/>
    <mergeCell ref="AI33:AL33"/>
    <mergeCell ref="W44:Z44"/>
    <mergeCell ref="AA44:AD44"/>
    <mergeCell ref="W33:Z33"/>
    <mergeCell ref="AA33:AD33"/>
    <mergeCell ref="AM10:AP10"/>
    <mergeCell ref="K22:N22"/>
    <mergeCell ref="O22:R22"/>
    <mergeCell ref="S22:V22"/>
    <mergeCell ref="AE22:AH22"/>
    <mergeCell ref="AI22:AL22"/>
    <mergeCell ref="AM22:AP22"/>
    <mergeCell ref="K10:N10"/>
    <mergeCell ref="O10:R10"/>
    <mergeCell ref="S10:V10"/>
    <mergeCell ref="AE10:AH10"/>
    <mergeCell ref="AI10:AL10"/>
    <mergeCell ref="AA10:AD10"/>
    <mergeCell ref="W10:Z10"/>
    <mergeCell ref="W22:Z22"/>
    <mergeCell ref="AA22:AD22"/>
    <mergeCell ref="G10:J10"/>
    <mergeCell ref="G22:J22"/>
    <mergeCell ref="G33:J33"/>
    <mergeCell ref="G44:J44"/>
    <mergeCell ref="G51:J51"/>
    <mergeCell ref="C10:F10"/>
    <mergeCell ref="C22:F22"/>
    <mergeCell ref="C33:F33"/>
    <mergeCell ref="C44:F44"/>
    <mergeCell ref="C51:F5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0BD9-B105-5248-872D-3CD04A87F45D}">
  <dimension ref="A2:AQ72"/>
  <sheetViews>
    <sheetView topLeftCell="B1" workbookViewId="0">
      <pane xSplit="1" ySplit="11" topLeftCell="C12" activePane="bottomRight" state="frozen"/>
      <selection activeCell="B1" sqref="B1"/>
      <selection pane="topRight" activeCell="C1" sqref="C1"/>
      <selection pane="bottomLeft" activeCell="B12" sqref="B12"/>
      <selection pane="bottomRight" activeCell="D12" sqref="D12"/>
    </sheetView>
  </sheetViews>
  <sheetFormatPr baseColWidth="10" defaultRowHeight="16" outlineLevelCol="1" x14ac:dyDescent="0.2"/>
  <cols>
    <col min="2" max="2" width="44.5" customWidth="1"/>
    <col min="3" max="5" width="15.33203125" customWidth="1" outlineLevel="1"/>
    <col min="6" max="6" width="15.33203125" customWidth="1"/>
    <col min="7" max="9" width="15.33203125" customWidth="1" outlineLevel="1"/>
    <col min="10" max="10" width="15.33203125" customWidth="1"/>
    <col min="11" max="13" width="14" customWidth="1" outlineLevel="1"/>
    <col min="14" max="14" width="14" customWidth="1"/>
    <col min="15" max="17" width="14" customWidth="1" outlineLevel="1"/>
    <col min="18" max="18" width="14" customWidth="1"/>
    <col min="19" max="21" width="14" customWidth="1" outlineLevel="1"/>
    <col min="22" max="22" width="14" customWidth="1"/>
    <col min="23" max="25" width="14" customWidth="1" outlineLevel="1"/>
    <col min="26" max="26" width="14" customWidth="1"/>
    <col min="27" max="29" width="14" customWidth="1" outlineLevel="1"/>
    <col min="30" max="30" width="14" customWidth="1"/>
    <col min="31" max="33" width="14" customWidth="1" outlineLevel="1"/>
    <col min="34" max="34" width="14" customWidth="1"/>
    <col min="35" max="37" width="14" customWidth="1" outlineLevel="1"/>
    <col min="38" max="38" width="14" customWidth="1"/>
    <col min="39" max="41" width="14" customWidth="1" outlineLevel="1"/>
    <col min="42" max="43" width="14" bestFit="1" customWidth="1"/>
  </cols>
  <sheetData>
    <row r="2" spans="1:43" x14ac:dyDescent="0.2">
      <c r="A2" s="2"/>
      <c r="B2" s="8" t="s">
        <v>89</v>
      </c>
      <c r="C2" s="8">
        <v>2021</v>
      </c>
      <c r="D2" s="8">
        <v>2020</v>
      </c>
      <c r="E2" s="8" t="s">
        <v>178</v>
      </c>
      <c r="F2" s="8" t="s">
        <v>179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3" x14ac:dyDescent="0.2">
      <c r="B3" s="1" t="s">
        <v>177</v>
      </c>
      <c r="C3" s="6">
        <v>2873744965</v>
      </c>
      <c r="D3" s="6">
        <v>2992073868</v>
      </c>
      <c r="E3" s="6">
        <v>606910250</v>
      </c>
      <c r="F3" s="6">
        <v>816520432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3" x14ac:dyDescent="0.2">
      <c r="B4" s="1" t="s">
        <v>180</v>
      </c>
      <c r="C4" s="6">
        <v>1533890318</v>
      </c>
      <c r="D4" s="6">
        <v>1997381141</v>
      </c>
      <c r="E4" s="6">
        <v>277072464</v>
      </c>
      <c r="F4" s="6">
        <v>347793389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3" x14ac:dyDescent="0.2">
      <c r="B5" s="1" t="s">
        <v>181</v>
      </c>
      <c r="C5" s="6">
        <v>4308882532</v>
      </c>
      <c r="D5" s="6">
        <v>4607103534</v>
      </c>
      <c r="E5" s="6">
        <v>241215316</v>
      </c>
      <c r="F5" s="6">
        <v>282869588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3" x14ac:dyDescent="0.2">
      <c r="B6" s="1" t="s">
        <v>531</v>
      </c>
      <c r="C6" s="30">
        <f>SUM(C3:C5)</f>
        <v>8716517815</v>
      </c>
      <c r="D6" s="30">
        <f>SUM(D3:D5)</f>
        <v>9596558543</v>
      </c>
      <c r="E6" s="30">
        <f>SUM(E3:E5)</f>
        <v>1125198030</v>
      </c>
      <c r="F6" s="30">
        <f>SUM(F3:F5)</f>
        <v>1447183409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3" x14ac:dyDescent="0.2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ht="17" thickBo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">
      <c r="C10" s="58">
        <v>2018</v>
      </c>
      <c r="D10" s="59"/>
      <c r="E10" s="59"/>
      <c r="F10" s="59"/>
      <c r="G10" s="60">
        <v>2017</v>
      </c>
      <c r="H10" s="60"/>
      <c r="I10" s="60"/>
      <c r="J10" s="60"/>
      <c r="K10" s="57">
        <v>2016</v>
      </c>
      <c r="L10" s="57"/>
      <c r="M10" s="57"/>
      <c r="N10" s="57"/>
      <c r="O10" s="66">
        <v>2015</v>
      </c>
      <c r="P10" s="66"/>
      <c r="Q10" s="66"/>
      <c r="R10" s="66"/>
      <c r="S10" s="65">
        <v>2014</v>
      </c>
      <c r="T10" s="65"/>
      <c r="U10" s="65"/>
      <c r="V10" s="65"/>
      <c r="W10" s="59" t="s">
        <v>626</v>
      </c>
      <c r="X10" s="59"/>
      <c r="Y10" s="59"/>
      <c r="Z10" s="59"/>
      <c r="AA10" s="60" t="s">
        <v>680</v>
      </c>
      <c r="AB10" s="60"/>
      <c r="AC10" s="60"/>
      <c r="AD10" s="60"/>
      <c r="AE10" s="57" t="s">
        <v>679</v>
      </c>
      <c r="AF10" s="57"/>
      <c r="AG10" s="57"/>
      <c r="AH10" s="57"/>
      <c r="AI10" s="66" t="s">
        <v>678</v>
      </c>
      <c r="AJ10" s="66"/>
      <c r="AK10" s="66"/>
      <c r="AL10" s="70"/>
      <c r="AM10" s="65" t="s">
        <v>677</v>
      </c>
      <c r="AN10" s="65"/>
      <c r="AO10" s="65"/>
      <c r="AP10" s="71"/>
      <c r="AQ10" s="6"/>
    </row>
    <row r="11" spans="1:43" ht="17" thickBot="1" x14ac:dyDescent="0.25">
      <c r="B11" s="8" t="s">
        <v>13</v>
      </c>
      <c r="C11" s="35" t="s">
        <v>93</v>
      </c>
      <c r="D11" s="36" t="s">
        <v>96</v>
      </c>
      <c r="E11" s="36" t="s">
        <v>554</v>
      </c>
      <c r="F11" s="36" t="s">
        <v>102</v>
      </c>
      <c r="G11" s="36" t="s">
        <v>93</v>
      </c>
      <c r="H11" s="36" t="s">
        <v>96</v>
      </c>
      <c r="I11" s="36" t="s">
        <v>554</v>
      </c>
      <c r="J11" s="36" t="s">
        <v>102</v>
      </c>
      <c r="K11" s="36" t="s">
        <v>93</v>
      </c>
      <c r="L11" s="36" t="s">
        <v>96</v>
      </c>
      <c r="M11" s="36" t="s">
        <v>554</v>
      </c>
      <c r="N11" s="36" t="s">
        <v>102</v>
      </c>
      <c r="O11" s="36" t="s">
        <v>93</v>
      </c>
      <c r="P11" s="36" t="s">
        <v>96</v>
      </c>
      <c r="Q11" s="36" t="s">
        <v>554</v>
      </c>
      <c r="R11" s="36" t="s">
        <v>102</v>
      </c>
      <c r="S11" s="36" t="s">
        <v>93</v>
      </c>
      <c r="T11" s="36" t="s">
        <v>96</v>
      </c>
      <c r="U11" s="36" t="s">
        <v>554</v>
      </c>
      <c r="V11" s="36" t="s">
        <v>102</v>
      </c>
      <c r="W11" s="36" t="s">
        <v>93</v>
      </c>
      <c r="X11" s="36" t="s">
        <v>96</v>
      </c>
      <c r="Y11" s="36" t="s">
        <v>554</v>
      </c>
      <c r="Z11" s="36" t="s">
        <v>102</v>
      </c>
      <c r="AA11" s="36" t="s">
        <v>93</v>
      </c>
      <c r="AB11" s="36" t="s">
        <v>96</v>
      </c>
      <c r="AC11" s="36" t="s">
        <v>554</v>
      </c>
      <c r="AD11" s="36" t="s">
        <v>102</v>
      </c>
      <c r="AE11" s="36" t="s">
        <v>93</v>
      </c>
      <c r="AF11" s="36" t="s">
        <v>96</v>
      </c>
      <c r="AG11" s="36" t="s">
        <v>554</v>
      </c>
      <c r="AH11" s="36" t="s">
        <v>102</v>
      </c>
      <c r="AI11" s="36" t="s">
        <v>93</v>
      </c>
      <c r="AJ11" s="36" t="s">
        <v>96</v>
      </c>
      <c r="AK11" s="36" t="s">
        <v>554</v>
      </c>
      <c r="AL11" s="37" t="s">
        <v>102</v>
      </c>
      <c r="AM11" s="36" t="s">
        <v>93</v>
      </c>
      <c r="AN11" s="36" t="s">
        <v>96</v>
      </c>
      <c r="AO11" s="36" t="s">
        <v>554</v>
      </c>
      <c r="AP11" s="37" t="s">
        <v>102</v>
      </c>
      <c r="AQ11" s="8"/>
    </row>
    <row r="12" spans="1:43" x14ac:dyDescent="0.2">
      <c r="B12" s="31" t="s">
        <v>532</v>
      </c>
      <c r="C12" s="6">
        <v>10899830</v>
      </c>
      <c r="D12" s="6">
        <v>6813039</v>
      </c>
      <c r="E12" s="6">
        <v>6669278</v>
      </c>
      <c r="F12" s="6">
        <v>8497938</v>
      </c>
      <c r="G12" s="6">
        <v>9515187</v>
      </c>
      <c r="H12" s="6">
        <v>14908939</v>
      </c>
      <c r="I12" s="6">
        <v>10516117</v>
      </c>
      <c r="J12" s="6">
        <v>9093572</v>
      </c>
      <c r="K12" s="6">
        <v>7906288</v>
      </c>
      <c r="L12" s="6">
        <v>8936343</v>
      </c>
      <c r="M12" s="6">
        <v>10143511</v>
      </c>
      <c r="N12" s="6">
        <v>12466153</v>
      </c>
      <c r="O12" s="6">
        <v>12171427</v>
      </c>
      <c r="P12" s="6">
        <v>11353585</v>
      </c>
      <c r="Q12" s="6">
        <v>10912277</v>
      </c>
      <c r="R12" s="6">
        <v>8438924</v>
      </c>
      <c r="S12" s="6">
        <v>7065268</v>
      </c>
      <c r="T12" s="6">
        <v>8912965</v>
      </c>
      <c r="U12" s="6">
        <v>7325454</v>
      </c>
      <c r="V12" s="6">
        <v>4614271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/>
      <c r="AN12" s="6">
        <v>0</v>
      </c>
      <c r="AO12" s="6">
        <v>0</v>
      </c>
      <c r="AP12" s="6">
        <v>0</v>
      </c>
    </row>
    <row r="13" spans="1:43" x14ac:dyDescent="0.2">
      <c r="B13" s="31" t="s">
        <v>533</v>
      </c>
      <c r="C13" s="6">
        <v>14244376</v>
      </c>
      <c r="D13" s="6">
        <v>34240525</v>
      </c>
      <c r="E13" s="6">
        <v>37544628</v>
      </c>
      <c r="F13" s="6">
        <v>31682811</v>
      </c>
      <c r="G13" s="6">
        <v>20259124</v>
      </c>
      <c r="H13" s="6">
        <v>32715561</v>
      </c>
      <c r="I13" s="6">
        <v>17809477</v>
      </c>
      <c r="J13" s="6">
        <v>18969682</v>
      </c>
      <c r="K13" s="6">
        <v>25081292</v>
      </c>
      <c r="L13" s="6">
        <v>29424205</v>
      </c>
      <c r="M13" s="6">
        <v>32774530</v>
      </c>
      <c r="N13" s="6">
        <v>35363890</v>
      </c>
      <c r="O13" s="6">
        <v>20653480</v>
      </c>
      <c r="P13" s="6">
        <v>43300139</v>
      </c>
      <c r="Q13" s="6">
        <v>51082477</v>
      </c>
      <c r="R13" s="6">
        <v>56259099</v>
      </c>
      <c r="S13" s="6">
        <v>6254105</v>
      </c>
      <c r="T13" s="6">
        <v>20520803</v>
      </c>
      <c r="U13" s="6">
        <v>16106740</v>
      </c>
      <c r="V13" s="6">
        <v>11502178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/>
      <c r="AN13" s="6">
        <v>0</v>
      </c>
      <c r="AO13" s="6">
        <v>0</v>
      </c>
      <c r="AP13" s="6">
        <v>0</v>
      </c>
    </row>
    <row r="14" spans="1:43" x14ac:dyDescent="0.2">
      <c r="B14" s="31" t="s">
        <v>534</v>
      </c>
      <c r="C14" s="6">
        <f>10287602+W14</f>
        <v>10702956</v>
      </c>
      <c r="D14" s="6">
        <f>X14+10063439</f>
        <v>10394940</v>
      </c>
      <c r="E14" s="6">
        <f>10896191+Y14</f>
        <v>11284859</v>
      </c>
      <c r="F14" s="6">
        <f>11582285+Z14</f>
        <v>11918135</v>
      </c>
      <c r="G14" s="7">
        <f>AA14+7756714</f>
        <v>7979677</v>
      </c>
      <c r="H14" s="6">
        <f>AB14+8553247</f>
        <v>8861677</v>
      </c>
      <c r="I14" s="6">
        <f>AC14+8662637</f>
        <v>8907608</v>
      </c>
      <c r="J14" s="6">
        <f>9899426+AD14</f>
        <v>10316068</v>
      </c>
      <c r="K14" s="6">
        <f>AE14+6229458</f>
        <v>6665039</v>
      </c>
      <c r="L14" s="6">
        <f>AF14+6812315</f>
        <v>7374108</v>
      </c>
      <c r="M14" s="6">
        <f>AG14+7565348</f>
        <v>7819271</v>
      </c>
      <c r="N14" s="6">
        <f>AH14+7167392</f>
        <v>7345920</v>
      </c>
      <c r="O14" s="6">
        <f>AI14+6824918</f>
        <v>7268304</v>
      </c>
      <c r="P14" s="6">
        <f>AJ14+6926446</f>
        <v>7161153</v>
      </c>
      <c r="Q14" s="6">
        <f>AK14+6286003</f>
        <v>6580509</v>
      </c>
      <c r="R14" s="6">
        <f>AL14+7367389</f>
        <v>7800728</v>
      </c>
      <c r="S14" s="6">
        <f>AM14+5713586</f>
        <v>5852983</v>
      </c>
      <c r="T14" s="6">
        <f>AN14+6176718</f>
        <v>6355114</v>
      </c>
      <c r="U14" s="6">
        <f>AO14+6063727</f>
        <v>6285007</v>
      </c>
      <c r="V14" s="6">
        <f>AP14+7569364</f>
        <v>7965707</v>
      </c>
      <c r="W14" s="6">
        <v>415354</v>
      </c>
      <c r="X14" s="6">
        <v>331501</v>
      </c>
      <c r="Y14" s="6">
        <v>388668</v>
      </c>
      <c r="Z14" s="6">
        <v>335850</v>
      </c>
      <c r="AA14" s="6">
        <v>222963</v>
      </c>
      <c r="AB14" s="6">
        <v>308430</v>
      </c>
      <c r="AC14" s="6">
        <v>244971</v>
      </c>
      <c r="AD14" s="6">
        <v>416642</v>
      </c>
      <c r="AE14" s="6">
        <v>435581</v>
      </c>
      <c r="AF14" s="6">
        <v>561793</v>
      </c>
      <c r="AG14" s="6">
        <v>253923</v>
      </c>
      <c r="AH14" s="6">
        <v>178528</v>
      </c>
      <c r="AI14" s="6">
        <v>443386</v>
      </c>
      <c r="AJ14" s="6">
        <v>234707</v>
      </c>
      <c r="AK14" s="6">
        <v>294506</v>
      </c>
      <c r="AL14" s="6">
        <v>433339</v>
      </c>
      <c r="AM14" s="6">
        <v>139397</v>
      </c>
      <c r="AN14" s="6">
        <v>178396</v>
      </c>
      <c r="AO14" s="6">
        <v>221280</v>
      </c>
      <c r="AP14" s="6">
        <v>396343</v>
      </c>
    </row>
    <row r="15" spans="1:43" x14ac:dyDescent="0.2">
      <c r="B15" s="31" t="s">
        <v>535</v>
      </c>
      <c r="C15" s="6">
        <f>6752177+W15</f>
        <v>6758697</v>
      </c>
      <c r="D15" s="6">
        <f>X15+6448706</f>
        <v>6454459</v>
      </c>
      <c r="E15" s="6">
        <f>Y15+9182705</f>
        <v>9188319</v>
      </c>
      <c r="F15" s="6">
        <f>8600709+Z15</f>
        <v>8606383</v>
      </c>
      <c r="G15" s="7">
        <f>AA15+3345960</f>
        <v>3347062</v>
      </c>
      <c r="H15" s="6">
        <f>AB15+3718034</f>
        <v>3722924</v>
      </c>
      <c r="I15" s="6">
        <f>AC15+4995953</f>
        <v>5000217</v>
      </c>
      <c r="J15" s="6">
        <f>6614355+AD15</f>
        <v>6619177</v>
      </c>
      <c r="K15" s="6">
        <f>AE15+2686352</f>
        <v>2687404</v>
      </c>
      <c r="L15" s="6">
        <f>AF15+3904120</f>
        <v>3906443</v>
      </c>
      <c r="M15" s="6">
        <f>AG15+3302527</f>
        <v>3304574</v>
      </c>
      <c r="N15" s="6">
        <f>AH15+3826144</f>
        <v>3829163</v>
      </c>
      <c r="O15" s="6">
        <f>AI15+2791055</f>
        <v>2791257</v>
      </c>
      <c r="P15" s="6">
        <f>AJ15+2824461</f>
        <v>2825103</v>
      </c>
      <c r="Q15" s="6">
        <f>AK15+2864656</f>
        <v>2865679</v>
      </c>
      <c r="R15" s="6">
        <f>AL15+2541352</f>
        <v>2542210</v>
      </c>
      <c r="S15" s="6">
        <f>AM15+3407472</f>
        <v>3407923</v>
      </c>
      <c r="T15" s="6">
        <f>AN15+424808</f>
        <v>425278</v>
      </c>
      <c r="U15" s="6">
        <f>AO15+2480751</f>
        <v>2482100</v>
      </c>
      <c r="V15" s="6">
        <f>AP15+3226980</f>
        <v>3228266</v>
      </c>
      <c r="W15" s="6">
        <v>6520</v>
      </c>
      <c r="X15" s="6">
        <v>5753</v>
      </c>
      <c r="Y15" s="6">
        <v>5614</v>
      </c>
      <c r="Z15" s="6">
        <v>5674</v>
      </c>
      <c r="AA15" s="6">
        <v>1102</v>
      </c>
      <c r="AB15" s="6">
        <v>4890</v>
      </c>
      <c r="AC15" s="6">
        <v>4264</v>
      </c>
      <c r="AD15" s="6">
        <v>4822</v>
      </c>
      <c r="AE15" s="6">
        <v>1052</v>
      </c>
      <c r="AF15" s="6">
        <v>2323</v>
      </c>
      <c r="AG15" s="6">
        <v>2047</v>
      </c>
      <c r="AH15" s="6">
        <v>3019</v>
      </c>
      <c r="AI15" s="6">
        <v>202</v>
      </c>
      <c r="AJ15" s="6">
        <v>642</v>
      </c>
      <c r="AK15" s="6">
        <v>1023</v>
      </c>
      <c r="AL15" s="6">
        <v>858</v>
      </c>
      <c r="AM15" s="6">
        <v>451</v>
      </c>
      <c r="AN15" s="6">
        <v>470</v>
      </c>
      <c r="AO15" s="6">
        <v>1349</v>
      </c>
      <c r="AP15" s="6">
        <v>1286</v>
      </c>
    </row>
    <row r="16" spans="1:43" x14ac:dyDescent="0.2">
      <c r="B16" s="31" t="s">
        <v>536</v>
      </c>
      <c r="C16" s="6">
        <f>1101436+455794496+W16</f>
        <v>470157475</v>
      </c>
      <c r="D16" s="6">
        <f>X16+850434+480469852</f>
        <v>494603390</v>
      </c>
      <c r="E16" s="6">
        <f>Y16+903464+501057041</f>
        <v>515816745</v>
      </c>
      <c r="F16" s="6">
        <v>538099448</v>
      </c>
      <c r="G16" s="7">
        <f>AA16+1920925+394521831</f>
        <v>408692795</v>
      </c>
      <c r="H16" s="6">
        <f>AB16+2874021+417872126</f>
        <v>545861702</v>
      </c>
      <c r="I16" s="6">
        <f>AC16+978867+425835670</f>
        <v>439656590</v>
      </c>
      <c r="J16" s="6">
        <f>3568627+450696329+AD16</f>
        <v>467508825</v>
      </c>
      <c r="K16" s="6">
        <f>AE16+656488+363605678</f>
        <v>373732274</v>
      </c>
      <c r="L16" s="6">
        <f>AF16+825020+376113943</f>
        <v>387052400</v>
      </c>
      <c r="M16" s="6">
        <f>AG16+660189+374151238</f>
        <v>386111631</v>
      </c>
      <c r="N16" s="6">
        <f>AH16+2869952+500521269</f>
        <v>515896245</v>
      </c>
      <c r="O16" s="6">
        <f>AI16+442027+328581322</f>
        <v>335576171</v>
      </c>
      <c r="P16" s="6">
        <f>AJ16+658154+339492659</f>
        <v>347101721</v>
      </c>
      <c r="Q16" s="6">
        <f>AK16+987049+356214981</f>
        <v>364845596</v>
      </c>
      <c r="R16" s="6">
        <f>AL16+946945+377669347</f>
        <v>387642637</v>
      </c>
      <c r="S16" s="6">
        <f>AM16+157814+311304125</f>
        <v>317191476</v>
      </c>
      <c r="T16" s="6">
        <f>AN16+406804+314988267</f>
        <v>321283649</v>
      </c>
      <c r="U16" s="6">
        <f>AO16+405305+323916734</f>
        <v>330677155</v>
      </c>
      <c r="V16" s="6">
        <f>AP16+552914+339306154</f>
        <v>346653310</v>
      </c>
      <c r="W16" s="6">
        <v>13261543</v>
      </c>
      <c r="X16" s="6">
        <v>13283104</v>
      </c>
      <c r="Y16" s="6">
        <v>13856240</v>
      </c>
      <c r="Z16" s="6">
        <v>13568986</v>
      </c>
      <c r="AA16" s="6">
        <v>12250039</v>
      </c>
      <c r="AB16" s="6">
        <v>125115555</v>
      </c>
      <c r="AC16" s="6">
        <v>12842053</v>
      </c>
      <c r="AD16" s="6">
        <v>13243869</v>
      </c>
      <c r="AE16" s="6">
        <v>9470108</v>
      </c>
      <c r="AF16" s="6">
        <v>10113437</v>
      </c>
      <c r="AG16" s="6">
        <v>11300204</v>
      </c>
      <c r="AH16" s="6">
        <v>12505024</v>
      </c>
      <c r="AI16" s="6">
        <v>6552822</v>
      </c>
      <c r="AJ16" s="6">
        <v>6950908</v>
      </c>
      <c r="AK16" s="6">
        <v>7643566</v>
      </c>
      <c r="AL16" s="6">
        <v>9026345</v>
      </c>
      <c r="AM16" s="6">
        <v>5729537</v>
      </c>
      <c r="AN16" s="6">
        <v>5888578</v>
      </c>
      <c r="AO16" s="6">
        <v>6355116</v>
      </c>
      <c r="AP16" s="6">
        <v>6794242</v>
      </c>
    </row>
    <row r="17" spans="1:43" x14ac:dyDescent="0.2">
      <c r="B17" s="31" t="s">
        <v>537</v>
      </c>
      <c r="C17" s="6">
        <f>7321919+W17</f>
        <v>7667262</v>
      </c>
      <c r="D17" s="6">
        <f>X17+7096102</f>
        <v>7446861</v>
      </c>
      <c r="E17" s="6">
        <f>Y17+6760094</f>
        <v>7111060</v>
      </c>
      <c r="F17" s="6">
        <v>7977737</v>
      </c>
      <c r="G17" s="7">
        <f>AA17+8591610</f>
        <v>8913953</v>
      </c>
      <c r="H17" s="6">
        <f>AB17+8036789</f>
        <v>8411914</v>
      </c>
      <c r="I17" s="6">
        <v>7743708</v>
      </c>
      <c r="J17" s="6">
        <f>8506983+AD17</f>
        <v>8884503</v>
      </c>
      <c r="K17" s="6">
        <f>AE17+7179478</f>
        <v>7468894</v>
      </c>
      <c r="L17" s="6">
        <f>AF17+7730258</f>
        <v>8029967</v>
      </c>
      <c r="M17" s="6">
        <f>AG17+7773166</f>
        <v>8073693</v>
      </c>
      <c r="N17" s="6">
        <f>AH17+8207469</f>
        <v>8506555</v>
      </c>
      <c r="O17" s="6">
        <f>AI17+7536246</f>
        <v>7745323</v>
      </c>
      <c r="P17" s="6">
        <f>AJ17+7051519</f>
        <v>7286559</v>
      </c>
      <c r="Q17" s="6">
        <f>AK17+7009912</f>
        <v>7260561</v>
      </c>
      <c r="R17" s="6">
        <f>AL17+7407519</f>
        <v>7693538</v>
      </c>
      <c r="S17" s="6">
        <f>AM17+7112624</f>
        <v>7267725</v>
      </c>
      <c r="T17" s="6">
        <f>AN17+7184485</f>
        <v>7376201</v>
      </c>
      <c r="U17" s="6">
        <f>AO17+6703032</f>
        <v>6911264</v>
      </c>
      <c r="V17" s="6">
        <f>AP17+6973228</f>
        <v>7174290</v>
      </c>
      <c r="W17" s="6">
        <v>345343</v>
      </c>
      <c r="X17" s="6">
        <v>350759</v>
      </c>
      <c r="Y17" s="6">
        <v>350966</v>
      </c>
      <c r="Z17" s="6">
        <v>364028</v>
      </c>
      <c r="AA17" s="6">
        <v>322343</v>
      </c>
      <c r="AB17" s="6">
        <v>375125</v>
      </c>
      <c r="AC17" s="6">
        <v>357096</v>
      </c>
      <c r="AD17" s="6">
        <v>377520</v>
      </c>
      <c r="AE17" s="6">
        <v>289416</v>
      </c>
      <c r="AF17" s="6">
        <v>299709</v>
      </c>
      <c r="AG17" s="6">
        <v>300527</v>
      </c>
      <c r="AH17" s="6">
        <v>299086</v>
      </c>
      <c r="AI17" s="6">
        <v>209077</v>
      </c>
      <c r="AJ17" s="6">
        <v>235040</v>
      </c>
      <c r="AK17" s="6">
        <v>250649</v>
      </c>
      <c r="AL17" s="6">
        <v>286019</v>
      </c>
      <c r="AM17" s="6">
        <v>155101</v>
      </c>
      <c r="AN17" s="6">
        <v>191716</v>
      </c>
      <c r="AO17" s="6">
        <v>208232</v>
      </c>
      <c r="AP17" s="6">
        <v>201062</v>
      </c>
    </row>
    <row r="18" spans="1:43" s="1" customFormat="1" x14ac:dyDescent="0.2">
      <c r="B18" s="31" t="s">
        <v>531</v>
      </c>
      <c r="C18" s="30">
        <f>SUM(C12:C17)</f>
        <v>520430596</v>
      </c>
      <c r="D18" s="30">
        <f t="shared" ref="D18:F18" si="0">SUM(D12:D17)</f>
        <v>559953214</v>
      </c>
      <c r="E18" s="30">
        <f t="shared" si="0"/>
        <v>587614889</v>
      </c>
      <c r="F18" s="30">
        <f t="shared" si="0"/>
        <v>606782452</v>
      </c>
      <c r="G18" s="30">
        <f t="shared" ref="G18:AL18" si="1">SUM(G12:G17)</f>
        <v>458707798</v>
      </c>
      <c r="H18" s="30">
        <f t="shared" si="1"/>
        <v>614482717</v>
      </c>
      <c r="I18" s="30">
        <f t="shared" si="1"/>
        <v>489633717</v>
      </c>
      <c r="J18" s="30">
        <f t="shared" si="1"/>
        <v>521391827</v>
      </c>
      <c r="K18" s="30">
        <f t="shared" si="1"/>
        <v>423541191</v>
      </c>
      <c r="L18" s="30">
        <f t="shared" si="1"/>
        <v>444723466</v>
      </c>
      <c r="M18" s="30">
        <f t="shared" si="1"/>
        <v>448227210</v>
      </c>
      <c r="N18" s="30">
        <f t="shared" si="1"/>
        <v>583407926</v>
      </c>
      <c r="O18" s="30">
        <f t="shared" si="1"/>
        <v>386205962</v>
      </c>
      <c r="P18" s="30">
        <f t="shared" si="1"/>
        <v>419028260</v>
      </c>
      <c r="Q18" s="30">
        <f t="shared" si="1"/>
        <v>443547099</v>
      </c>
      <c r="R18" s="30">
        <f t="shared" si="1"/>
        <v>470377136</v>
      </c>
      <c r="S18" s="30">
        <f t="shared" si="1"/>
        <v>347039480</v>
      </c>
      <c r="T18" s="30">
        <f t="shared" si="1"/>
        <v>364874010</v>
      </c>
      <c r="U18" s="30">
        <f t="shared" si="1"/>
        <v>369787720</v>
      </c>
      <c r="V18" s="30">
        <f t="shared" si="1"/>
        <v>381138022</v>
      </c>
      <c r="W18" s="30">
        <f t="shared" si="1"/>
        <v>14028760</v>
      </c>
      <c r="X18" s="30">
        <f t="shared" si="1"/>
        <v>13971117</v>
      </c>
      <c r="Y18" s="30">
        <f t="shared" si="1"/>
        <v>14601488</v>
      </c>
      <c r="Z18" s="30">
        <f t="shared" si="1"/>
        <v>14274538</v>
      </c>
      <c r="AA18" s="30">
        <f t="shared" si="1"/>
        <v>12796447</v>
      </c>
      <c r="AB18" s="30">
        <f t="shared" si="1"/>
        <v>125804000</v>
      </c>
      <c r="AC18" s="30">
        <f t="shared" si="1"/>
        <v>13448384</v>
      </c>
      <c r="AD18" s="30">
        <f t="shared" si="1"/>
        <v>14042853</v>
      </c>
      <c r="AE18" s="30">
        <f t="shared" si="1"/>
        <v>10196157</v>
      </c>
      <c r="AF18" s="30">
        <f t="shared" si="1"/>
        <v>10977262</v>
      </c>
      <c r="AG18" s="30">
        <f t="shared" si="1"/>
        <v>11856701</v>
      </c>
      <c r="AH18" s="30">
        <f t="shared" si="1"/>
        <v>12985657</v>
      </c>
      <c r="AI18" s="30">
        <f t="shared" si="1"/>
        <v>7205487</v>
      </c>
      <c r="AJ18" s="30">
        <f t="shared" si="1"/>
        <v>7421297</v>
      </c>
      <c r="AK18" s="30">
        <f t="shared" si="1"/>
        <v>8189744</v>
      </c>
      <c r="AL18" s="30">
        <f t="shared" si="1"/>
        <v>9746561</v>
      </c>
      <c r="AM18" s="30">
        <f t="shared" ref="AM18:AP18" si="2">SUM(AM12:AM17)</f>
        <v>6024486</v>
      </c>
      <c r="AN18" s="30">
        <f t="shared" si="2"/>
        <v>6259160</v>
      </c>
      <c r="AO18" s="30">
        <f t="shared" si="2"/>
        <v>6785977</v>
      </c>
      <c r="AP18" s="30">
        <f t="shared" si="2"/>
        <v>7392933</v>
      </c>
    </row>
    <row r="19" spans="1:43" x14ac:dyDescent="0.2"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"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ht="17" thickBot="1" x14ac:dyDescent="0.25"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B22" s="8"/>
      <c r="C22" s="58">
        <v>2018</v>
      </c>
      <c r="D22" s="59"/>
      <c r="E22" s="59"/>
      <c r="F22" s="59"/>
      <c r="G22" s="60">
        <v>2017</v>
      </c>
      <c r="H22" s="60"/>
      <c r="I22" s="60"/>
      <c r="J22" s="60"/>
      <c r="K22" s="57">
        <v>2016</v>
      </c>
      <c r="L22" s="57"/>
      <c r="M22" s="57"/>
      <c r="N22" s="57"/>
      <c r="O22" s="66">
        <v>2015</v>
      </c>
      <c r="P22" s="66"/>
      <c r="Q22" s="66"/>
      <c r="R22" s="66"/>
      <c r="S22" s="65">
        <v>2014</v>
      </c>
      <c r="T22" s="65"/>
      <c r="U22" s="65"/>
      <c r="V22" s="65"/>
      <c r="W22" s="59" t="s">
        <v>626</v>
      </c>
      <c r="X22" s="59"/>
      <c r="Y22" s="59"/>
      <c r="Z22" s="59"/>
      <c r="AA22" s="60" t="s">
        <v>680</v>
      </c>
      <c r="AB22" s="60"/>
      <c r="AC22" s="60"/>
      <c r="AD22" s="60"/>
      <c r="AE22" s="57" t="s">
        <v>679</v>
      </c>
      <c r="AF22" s="57"/>
      <c r="AG22" s="57"/>
      <c r="AH22" s="57"/>
      <c r="AI22" s="66" t="s">
        <v>678</v>
      </c>
      <c r="AJ22" s="66"/>
      <c r="AK22" s="66"/>
      <c r="AL22" s="70"/>
      <c r="AM22" s="65" t="s">
        <v>677</v>
      </c>
      <c r="AN22" s="65"/>
      <c r="AO22" s="65"/>
      <c r="AP22" s="71"/>
      <c r="AQ22" s="6"/>
    </row>
    <row r="23" spans="1:43" ht="17" thickBot="1" x14ac:dyDescent="0.25">
      <c r="B23" s="8" t="s">
        <v>15</v>
      </c>
      <c r="C23" s="35" t="s">
        <v>93</v>
      </c>
      <c r="D23" s="36" t="s">
        <v>96</v>
      </c>
      <c r="E23" s="36" t="s">
        <v>554</v>
      </c>
      <c r="F23" s="36" t="s">
        <v>102</v>
      </c>
      <c r="G23" s="36" t="s">
        <v>93</v>
      </c>
      <c r="H23" s="36" t="s">
        <v>96</v>
      </c>
      <c r="I23" s="36" t="s">
        <v>554</v>
      </c>
      <c r="J23" s="36" t="s">
        <v>102</v>
      </c>
      <c r="K23" s="36" t="s">
        <v>93</v>
      </c>
      <c r="L23" s="36" t="s">
        <v>96</v>
      </c>
      <c r="M23" s="36" t="s">
        <v>554</v>
      </c>
      <c r="N23" s="36" t="s">
        <v>102</v>
      </c>
      <c r="O23" s="36" t="s">
        <v>93</v>
      </c>
      <c r="P23" s="36" t="s">
        <v>96</v>
      </c>
      <c r="Q23" s="36" t="s">
        <v>554</v>
      </c>
      <c r="R23" s="36" t="s">
        <v>102</v>
      </c>
      <c r="S23" s="36" t="s">
        <v>93</v>
      </c>
      <c r="T23" s="36" t="s">
        <v>96</v>
      </c>
      <c r="U23" s="36" t="s">
        <v>554</v>
      </c>
      <c r="V23" s="36" t="s">
        <v>102</v>
      </c>
      <c r="W23" s="36" t="s">
        <v>93</v>
      </c>
      <c r="X23" s="36" t="s">
        <v>96</v>
      </c>
      <c r="Y23" s="36" t="s">
        <v>554</v>
      </c>
      <c r="Z23" s="36" t="s">
        <v>102</v>
      </c>
      <c r="AA23" s="36" t="s">
        <v>93</v>
      </c>
      <c r="AB23" s="36" t="s">
        <v>96</v>
      </c>
      <c r="AC23" s="36" t="s">
        <v>554</v>
      </c>
      <c r="AD23" s="36" t="s">
        <v>102</v>
      </c>
      <c r="AE23" s="36" t="s">
        <v>93</v>
      </c>
      <c r="AF23" s="36" t="s">
        <v>96</v>
      </c>
      <c r="AG23" s="36" t="s">
        <v>554</v>
      </c>
      <c r="AH23" s="36" t="s">
        <v>102</v>
      </c>
      <c r="AI23" s="36" t="s">
        <v>93</v>
      </c>
      <c r="AJ23" s="36" t="s">
        <v>96</v>
      </c>
      <c r="AK23" s="36" t="s">
        <v>554</v>
      </c>
      <c r="AL23" s="37" t="s">
        <v>102</v>
      </c>
      <c r="AM23" s="36" t="s">
        <v>93</v>
      </c>
      <c r="AN23" s="36" t="s">
        <v>96</v>
      </c>
      <c r="AO23" s="36" t="s">
        <v>554</v>
      </c>
      <c r="AP23" s="37" t="s">
        <v>102</v>
      </c>
      <c r="AQ23" s="8" t="s">
        <v>179</v>
      </c>
    </row>
    <row r="24" spans="1:43" x14ac:dyDescent="0.2">
      <c r="B24" s="31" t="s">
        <v>538</v>
      </c>
      <c r="C24" s="6">
        <v>13227845</v>
      </c>
      <c r="D24" s="6">
        <v>17540329</v>
      </c>
      <c r="E24" s="6">
        <v>13681950</v>
      </c>
      <c r="F24" s="11">
        <v>13137099</v>
      </c>
      <c r="G24" s="11">
        <v>12474222</v>
      </c>
      <c r="H24" s="11">
        <v>18567298</v>
      </c>
      <c r="I24" s="11">
        <v>28259316</v>
      </c>
      <c r="J24" s="11">
        <v>21338437</v>
      </c>
      <c r="K24" s="11">
        <v>9569170</v>
      </c>
      <c r="L24" s="11">
        <v>9742646</v>
      </c>
      <c r="M24" s="11">
        <v>12728603</v>
      </c>
      <c r="N24" s="11">
        <v>6299767</v>
      </c>
      <c r="O24" s="11">
        <v>7827495</v>
      </c>
      <c r="P24" s="11">
        <v>15532508</v>
      </c>
      <c r="Q24" s="11">
        <v>10009271</v>
      </c>
      <c r="R24" s="11">
        <v>8999699</v>
      </c>
      <c r="S24" s="11">
        <v>3517276</v>
      </c>
      <c r="T24" s="11">
        <v>12206750</v>
      </c>
      <c r="U24" s="11">
        <v>8618693</v>
      </c>
      <c r="V24" s="11">
        <v>4497429</v>
      </c>
      <c r="W24" s="11">
        <v>5694</v>
      </c>
      <c r="X24" s="11">
        <v>3668</v>
      </c>
      <c r="Y24" s="11">
        <v>1703</v>
      </c>
      <c r="Z24" s="11">
        <v>3271</v>
      </c>
      <c r="AA24" s="6">
        <v>1479</v>
      </c>
      <c r="AB24" s="11">
        <v>6195</v>
      </c>
      <c r="AC24" s="11">
        <v>5899</v>
      </c>
      <c r="AD24" s="11">
        <v>3287</v>
      </c>
      <c r="AE24" s="11">
        <v>1482</v>
      </c>
      <c r="AF24" s="11">
        <v>2077</v>
      </c>
      <c r="AG24" s="11">
        <v>1838</v>
      </c>
      <c r="AH24" s="11">
        <v>1748</v>
      </c>
      <c r="AI24" s="11">
        <v>1533</v>
      </c>
      <c r="AJ24" s="11">
        <v>3241</v>
      </c>
      <c r="AK24" s="11">
        <v>2747</v>
      </c>
      <c r="AL24" s="11">
        <v>906</v>
      </c>
      <c r="AM24" s="11">
        <v>499</v>
      </c>
      <c r="AN24" s="11">
        <v>1977</v>
      </c>
      <c r="AO24" s="11">
        <v>3180</v>
      </c>
      <c r="AP24" s="11">
        <v>1589</v>
      </c>
    </row>
    <row r="25" spans="1:43" x14ac:dyDescent="0.2">
      <c r="B25" s="31" t="s">
        <v>539</v>
      </c>
      <c r="C25" s="6">
        <v>12409515</v>
      </c>
      <c r="D25" s="6">
        <v>25897877</v>
      </c>
      <c r="E25" s="6">
        <v>29220033</v>
      </c>
      <c r="F25" s="11">
        <v>39324460</v>
      </c>
      <c r="G25" s="11">
        <v>32083492</v>
      </c>
      <c r="H25" s="11">
        <v>14220379</v>
      </c>
      <c r="I25" s="11">
        <v>19895517</v>
      </c>
      <c r="J25" s="11">
        <v>28593248</v>
      </c>
      <c r="K25" s="11">
        <v>25830735</v>
      </c>
      <c r="L25" s="11">
        <v>13873617</v>
      </c>
      <c r="M25" s="11">
        <v>26234558</v>
      </c>
      <c r="N25" s="11">
        <v>33662168</v>
      </c>
      <c r="O25" s="11">
        <v>17247129</v>
      </c>
      <c r="P25" s="11">
        <v>21248623</v>
      </c>
      <c r="Q25" s="11">
        <v>26086482</v>
      </c>
      <c r="R25" s="11">
        <v>33416808</v>
      </c>
      <c r="S25" s="11">
        <v>11701375</v>
      </c>
      <c r="T25" s="11">
        <v>26023706</v>
      </c>
      <c r="U25" s="11">
        <v>19893155</v>
      </c>
      <c r="V25" s="11">
        <v>14529531</v>
      </c>
      <c r="W25" s="11">
        <v>0</v>
      </c>
      <c r="X25" s="11">
        <v>0</v>
      </c>
      <c r="Y25" s="11">
        <v>0</v>
      </c>
      <c r="Z25" s="11">
        <v>15</v>
      </c>
      <c r="AA25" s="6">
        <v>0</v>
      </c>
      <c r="AB25" s="11">
        <v>0</v>
      </c>
      <c r="AC25" s="11">
        <v>0</v>
      </c>
      <c r="AD25" s="11">
        <v>510</v>
      </c>
      <c r="AE25" s="11">
        <v>0</v>
      </c>
      <c r="AF25" s="11">
        <v>0</v>
      </c>
      <c r="AG25" s="11">
        <v>0</v>
      </c>
      <c r="AH25" s="11">
        <v>500</v>
      </c>
      <c r="AI25" s="11">
        <v>1961</v>
      </c>
      <c r="AJ25" s="11">
        <v>0</v>
      </c>
      <c r="AK25" s="11">
        <v>0</v>
      </c>
      <c r="AL25" s="11">
        <v>0</v>
      </c>
      <c r="AM25" s="11">
        <v>444</v>
      </c>
      <c r="AN25" s="11">
        <v>5</v>
      </c>
      <c r="AO25" s="11">
        <v>53</v>
      </c>
      <c r="AP25" s="11">
        <v>2109</v>
      </c>
    </row>
    <row r="26" spans="1:43" x14ac:dyDescent="0.2">
      <c r="B26" s="31" t="s">
        <v>540</v>
      </c>
      <c r="C26" s="6">
        <v>19453385</v>
      </c>
      <c r="D26" s="6">
        <v>21008891</v>
      </c>
      <c r="E26" s="6">
        <v>20547612</v>
      </c>
      <c r="F26" s="11">
        <v>24745206</v>
      </c>
      <c r="G26" s="11">
        <v>8954778</v>
      </c>
      <c r="H26" s="11">
        <v>10784467</v>
      </c>
      <c r="I26" s="11">
        <v>12169918</v>
      </c>
      <c r="J26" s="11">
        <v>15799170</v>
      </c>
      <c r="K26" s="11">
        <v>8629567</v>
      </c>
      <c r="L26" s="11">
        <v>7900152</v>
      </c>
      <c r="M26" s="11">
        <v>7393736</v>
      </c>
      <c r="N26" s="11">
        <v>8599063</v>
      </c>
      <c r="O26" s="11">
        <v>2476950</v>
      </c>
      <c r="P26" s="11">
        <v>4196617</v>
      </c>
      <c r="Q26" s="11">
        <v>5993976</v>
      </c>
      <c r="R26" s="11">
        <v>8857823</v>
      </c>
      <c r="S26" s="11">
        <v>7160425</v>
      </c>
      <c r="T26" s="11">
        <v>4657348</v>
      </c>
      <c r="U26" s="11">
        <v>2371028</v>
      </c>
      <c r="V26" s="11">
        <v>2302372</v>
      </c>
      <c r="W26" s="11">
        <v>109979</v>
      </c>
      <c r="X26" s="11">
        <v>98654</v>
      </c>
      <c r="Y26" s="11">
        <v>102454</v>
      </c>
      <c r="Z26" s="11">
        <v>158344</v>
      </c>
      <c r="AA26" s="6">
        <v>48142</v>
      </c>
      <c r="AB26" s="11">
        <v>54284</v>
      </c>
      <c r="AC26" s="11">
        <v>54423</v>
      </c>
      <c r="AD26" s="11">
        <v>98245</v>
      </c>
      <c r="AE26" s="11">
        <v>37302</v>
      </c>
      <c r="AF26" s="11">
        <v>71331</v>
      </c>
      <c r="AG26" s="11">
        <v>78501</v>
      </c>
      <c r="AH26" s="11">
        <v>31268</v>
      </c>
      <c r="AI26" s="11">
        <v>2016</v>
      </c>
      <c r="AJ26" s="11">
        <v>1861</v>
      </c>
      <c r="AK26" s="11">
        <v>2908</v>
      </c>
      <c r="AL26" s="11">
        <v>36309</v>
      </c>
      <c r="AM26" s="11">
        <v>7332</v>
      </c>
      <c r="AN26" s="11">
        <v>6993</v>
      </c>
      <c r="AO26" s="11">
        <v>811</v>
      </c>
      <c r="AP26" s="11">
        <v>1061</v>
      </c>
    </row>
    <row r="27" spans="1:43" x14ac:dyDescent="0.2">
      <c r="B27" s="31" t="s">
        <v>541</v>
      </c>
      <c r="C27" s="6">
        <v>16132484</v>
      </c>
      <c r="D27" s="6">
        <v>18136220</v>
      </c>
      <c r="E27" s="6">
        <v>19575622</v>
      </c>
      <c r="F27" s="11">
        <v>20475019</v>
      </c>
      <c r="G27" s="11">
        <v>14611873</v>
      </c>
      <c r="H27" s="11">
        <v>16883484</v>
      </c>
      <c r="I27" s="11">
        <v>15819129</v>
      </c>
      <c r="J27" s="11">
        <v>18271023</v>
      </c>
      <c r="K27" s="11">
        <v>10807722</v>
      </c>
      <c r="L27" s="11">
        <v>11924140</v>
      </c>
      <c r="M27" s="11">
        <v>13029138</v>
      </c>
      <c r="N27" s="11">
        <v>14809228</v>
      </c>
      <c r="O27" s="11">
        <v>13459944</v>
      </c>
      <c r="P27" s="11">
        <v>11114604</v>
      </c>
      <c r="Q27" s="11">
        <v>12317198</v>
      </c>
      <c r="R27" s="11">
        <v>10899801</v>
      </c>
      <c r="S27" s="11">
        <v>10546610</v>
      </c>
      <c r="T27" s="11">
        <v>12275985</v>
      </c>
      <c r="U27" s="11">
        <v>11731051</v>
      </c>
      <c r="V27" s="11">
        <v>12531441</v>
      </c>
      <c r="W27" s="11">
        <v>147600</v>
      </c>
      <c r="X27" s="11">
        <v>127056</v>
      </c>
      <c r="Y27" s="11">
        <v>129012</v>
      </c>
      <c r="Z27" s="11">
        <v>179742</v>
      </c>
      <c r="AA27" s="6">
        <v>86877</v>
      </c>
      <c r="AB27" s="11">
        <v>87231</v>
      </c>
      <c r="AC27" s="11">
        <v>12075</v>
      </c>
      <c r="AD27" s="11">
        <v>164611</v>
      </c>
      <c r="AE27" s="11">
        <v>90597</v>
      </c>
      <c r="AF27" s="11">
        <v>89197</v>
      </c>
      <c r="AG27" s="11">
        <v>80068</v>
      </c>
      <c r="AH27" s="11">
        <v>84834</v>
      </c>
      <c r="AI27" s="11">
        <v>78865</v>
      </c>
      <c r="AJ27" s="11">
        <v>53633</v>
      </c>
      <c r="AK27" s="11">
        <v>67142</v>
      </c>
      <c r="AL27" s="11">
        <v>79188</v>
      </c>
      <c r="AM27" s="11">
        <v>77936</v>
      </c>
      <c r="AN27" s="11">
        <v>84338</v>
      </c>
      <c r="AO27" s="11">
        <v>64592</v>
      </c>
      <c r="AP27" s="11">
        <v>64622</v>
      </c>
    </row>
    <row r="28" spans="1:43" x14ac:dyDescent="0.2">
      <c r="B28" s="31" t="s">
        <v>542</v>
      </c>
      <c r="C28" s="6">
        <v>439460047</v>
      </c>
      <c r="D28" s="6">
        <v>457806769</v>
      </c>
      <c r="E28" s="6">
        <v>487042402</v>
      </c>
      <c r="F28" s="6">
        <v>512778497</v>
      </c>
      <c r="G28" s="6">
        <v>396521572</v>
      </c>
      <c r="H28" s="6">
        <v>412174990</v>
      </c>
      <c r="I28" s="6">
        <v>421404925</v>
      </c>
      <c r="J28" s="6">
        <v>441313566</v>
      </c>
      <c r="K28" s="6">
        <v>326744376</v>
      </c>
      <c r="L28" s="11">
        <v>357218396</v>
      </c>
      <c r="M28" s="6">
        <v>372021564</v>
      </c>
      <c r="N28" s="6">
        <v>393275392</v>
      </c>
      <c r="O28" s="6">
        <v>269513025</v>
      </c>
      <c r="P28" s="6">
        <v>288722969</v>
      </c>
      <c r="Q28" s="6">
        <v>307121541</v>
      </c>
      <c r="R28" s="6">
        <v>326105149</v>
      </c>
      <c r="S28" s="6">
        <v>247120125</v>
      </c>
      <c r="T28" s="6">
        <v>257529973</v>
      </c>
      <c r="U28" s="6">
        <v>267941843</v>
      </c>
      <c r="V28" s="6">
        <v>277622281</v>
      </c>
      <c r="W28" s="6">
        <v>14553385</v>
      </c>
      <c r="X28" s="6">
        <v>14368534</v>
      </c>
      <c r="Y28" s="6">
        <v>14804169</v>
      </c>
      <c r="Z28" s="6">
        <v>14891609</v>
      </c>
      <c r="AA28" s="6">
        <v>17362022</v>
      </c>
      <c r="AB28" s="6">
        <v>16835063</v>
      </c>
      <c r="AC28" s="6">
        <v>16776689</v>
      </c>
      <c r="AD28" s="6">
        <v>14523585</v>
      </c>
      <c r="AE28" s="6">
        <v>12909336</v>
      </c>
      <c r="AF28" s="11">
        <v>14720640</v>
      </c>
      <c r="AG28" s="6">
        <v>16305669</v>
      </c>
      <c r="AH28" s="6">
        <v>16680865</v>
      </c>
      <c r="AI28" s="6">
        <v>7376358</v>
      </c>
      <c r="AJ28" s="6">
        <v>11596100</v>
      </c>
      <c r="AK28" s="6">
        <v>11875869</v>
      </c>
      <c r="AL28" s="6">
        <v>12038618</v>
      </c>
      <c r="AM28" s="6">
        <v>7213862</v>
      </c>
      <c r="AN28" s="6">
        <v>7127172</v>
      </c>
      <c r="AO28" s="6">
        <v>7523806</v>
      </c>
      <c r="AP28" s="6">
        <v>6970295</v>
      </c>
    </row>
    <row r="29" spans="1:43" s="1" customFormat="1" x14ac:dyDescent="0.2">
      <c r="A29"/>
      <c r="B29" s="31" t="s">
        <v>531</v>
      </c>
      <c r="C29" s="30">
        <f>SUM(C24:C28)</f>
        <v>500683276</v>
      </c>
      <c r="D29" s="30">
        <f t="shared" ref="D29:F29" si="3">SUM(D24:D28)</f>
        <v>540390086</v>
      </c>
      <c r="E29" s="30">
        <f t="shared" si="3"/>
        <v>570067619</v>
      </c>
      <c r="F29" s="30">
        <f t="shared" si="3"/>
        <v>610460281</v>
      </c>
      <c r="G29" s="30">
        <f t="shared" ref="G29:AL29" si="4">SUM(G24:G28)</f>
        <v>464645937</v>
      </c>
      <c r="H29" s="30">
        <f t="shared" si="4"/>
        <v>472630618</v>
      </c>
      <c r="I29" s="30">
        <f t="shared" si="4"/>
        <v>497548805</v>
      </c>
      <c r="J29" s="30">
        <f>SUM(J24:J28)</f>
        <v>525315444</v>
      </c>
      <c r="K29" s="30">
        <f t="shared" si="4"/>
        <v>381581570</v>
      </c>
      <c r="L29" s="30">
        <f t="shared" si="4"/>
        <v>400658951</v>
      </c>
      <c r="M29" s="30">
        <f t="shared" si="4"/>
        <v>431407599</v>
      </c>
      <c r="N29" s="30">
        <f t="shared" si="4"/>
        <v>456645618</v>
      </c>
      <c r="O29" s="30">
        <f t="shared" si="4"/>
        <v>310524543</v>
      </c>
      <c r="P29" s="30">
        <f t="shared" si="4"/>
        <v>340815321</v>
      </c>
      <c r="Q29" s="30">
        <f t="shared" si="4"/>
        <v>361528468</v>
      </c>
      <c r="R29" s="30">
        <f t="shared" si="4"/>
        <v>388279280</v>
      </c>
      <c r="S29" s="30">
        <f t="shared" si="4"/>
        <v>280045811</v>
      </c>
      <c r="T29" s="30">
        <f t="shared" si="4"/>
        <v>312693762</v>
      </c>
      <c r="U29" s="30">
        <f t="shared" si="4"/>
        <v>310555770</v>
      </c>
      <c r="V29" s="30">
        <f t="shared" si="4"/>
        <v>311483054</v>
      </c>
      <c r="W29" s="30">
        <f t="shared" si="4"/>
        <v>14816658</v>
      </c>
      <c r="X29" s="30">
        <f t="shared" si="4"/>
        <v>14597912</v>
      </c>
      <c r="Y29" s="30">
        <f t="shared" si="4"/>
        <v>15037338</v>
      </c>
      <c r="Z29" s="30">
        <f t="shared" si="4"/>
        <v>15232981</v>
      </c>
      <c r="AA29" s="30">
        <f t="shared" si="4"/>
        <v>17498520</v>
      </c>
      <c r="AB29" s="30">
        <f t="shared" si="4"/>
        <v>16982773</v>
      </c>
      <c r="AC29" s="30">
        <f t="shared" si="4"/>
        <v>16849086</v>
      </c>
      <c r="AD29" s="30">
        <f t="shared" si="4"/>
        <v>14790238</v>
      </c>
      <c r="AE29" s="30">
        <f t="shared" si="4"/>
        <v>13038717</v>
      </c>
      <c r="AF29" s="30">
        <f t="shared" si="4"/>
        <v>14883245</v>
      </c>
      <c r="AG29" s="30">
        <f t="shared" si="4"/>
        <v>16466076</v>
      </c>
      <c r="AH29" s="30">
        <f t="shared" si="4"/>
        <v>16799215</v>
      </c>
      <c r="AI29" s="30">
        <f t="shared" si="4"/>
        <v>7460733</v>
      </c>
      <c r="AJ29" s="30">
        <f t="shared" si="4"/>
        <v>11654835</v>
      </c>
      <c r="AK29" s="30">
        <f t="shared" si="4"/>
        <v>11948666</v>
      </c>
      <c r="AL29" s="30">
        <f t="shared" si="4"/>
        <v>12155021</v>
      </c>
      <c r="AM29" s="30">
        <f t="shared" ref="AM29:AP29" si="5">SUM(AM24:AM28)</f>
        <v>7300073</v>
      </c>
      <c r="AN29" s="30">
        <f t="shared" si="5"/>
        <v>7220485</v>
      </c>
      <c r="AO29" s="30">
        <f t="shared" si="5"/>
        <v>7592442</v>
      </c>
      <c r="AP29" s="30">
        <f t="shared" si="5"/>
        <v>7039676</v>
      </c>
    </row>
    <row r="30" spans="1:43" x14ac:dyDescent="0.2">
      <c r="B30" s="31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3" x14ac:dyDescent="0.2">
      <c r="B31" s="31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3" ht="17" thickBot="1" x14ac:dyDescent="0.25">
      <c r="B32" s="31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2:42" x14ac:dyDescent="0.2">
      <c r="B33" s="31"/>
      <c r="C33" s="58">
        <v>2018</v>
      </c>
      <c r="D33" s="59"/>
      <c r="E33" s="59"/>
      <c r="F33" s="59"/>
      <c r="G33" s="60">
        <v>2017</v>
      </c>
      <c r="H33" s="60"/>
      <c r="I33" s="60"/>
      <c r="J33" s="60"/>
      <c r="K33" s="57">
        <v>2016</v>
      </c>
      <c r="L33" s="57"/>
      <c r="M33" s="57"/>
      <c r="N33" s="57"/>
      <c r="O33" s="66">
        <v>2015</v>
      </c>
      <c r="P33" s="66"/>
      <c r="Q33" s="66"/>
      <c r="R33" s="66"/>
      <c r="S33" s="65">
        <v>2014</v>
      </c>
      <c r="T33" s="65"/>
      <c r="U33" s="65"/>
      <c r="V33" s="65"/>
      <c r="W33" s="59" t="s">
        <v>626</v>
      </c>
      <c r="X33" s="59"/>
      <c r="Y33" s="59"/>
      <c r="Z33" s="59"/>
      <c r="AA33" s="60" t="s">
        <v>680</v>
      </c>
      <c r="AB33" s="60"/>
      <c r="AC33" s="60"/>
      <c r="AD33" s="60"/>
      <c r="AE33" s="57" t="s">
        <v>679</v>
      </c>
      <c r="AF33" s="57"/>
      <c r="AG33" s="57"/>
      <c r="AH33" s="57"/>
      <c r="AI33" s="66" t="s">
        <v>678</v>
      </c>
      <c r="AJ33" s="66"/>
      <c r="AK33" s="66"/>
      <c r="AL33" s="70"/>
      <c r="AM33" s="65" t="s">
        <v>677</v>
      </c>
      <c r="AN33" s="65"/>
      <c r="AO33" s="65"/>
      <c r="AP33" s="71"/>
    </row>
    <row r="34" spans="2:42" ht="17" thickBot="1" x14ac:dyDescent="0.25">
      <c r="B34" s="8" t="s">
        <v>17</v>
      </c>
      <c r="C34" s="35" t="s">
        <v>93</v>
      </c>
      <c r="D34" s="36" t="s">
        <v>96</v>
      </c>
      <c r="E34" s="36" t="s">
        <v>554</v>
      </c>
      <c r="F34" s="36" t="s">
        <v>102</v>
      </c>
      <c r="G34" s="36" t="s">
        <v>93</v>
      </c>
      <c r="H34" s="36" t="s">
        <v>96</v>
      </c>
      <c r="I34" s="36" t="s">
        <v>554</v>
      </c>
      <c r="J34" s="36" t="s">
        <v>102</v>
      </c>
      <c r="K34" s="36" t="s">
        <v>93</v>
      </c>
      <c r="L34" s="36" t="s">
        <v>96</v>
      </c>
      <c r="M34" s="36" t="s">
        <v>554</v>
      </c>
      <c r="N34" s="36" t="s">
        <v>102</v>
      </c>
      <c r="O34" s="36" t="s">
        <v>93</v>
      </c>
      <c r="P34" s="36" t="s">
        <v>96</v>
      </c>
      <c r="Q34" s="36" t="s">
        <v>554</v>
      </c>
      <c r="R34" s="36" t="s">
        <v>102</v>
      </c>
      <c r="S34" s="36" t="s">
        <v>93</v>
      </c>
      <c r="T34" s="36" t="s">
        <v>96</v>
      </c>
      <c r="U34" s="36" t="s">
        <v>554</v>
      </c>
      <c r="V34" s="36" t="s">
        <v>102</v>
      </c>
      <c r="W34" s="36" t="s">
        <v>93</v>
      </c>
      <c r="X34" s="36" t="s">
        <v>96</v>
      </c>
      <c r="Y34" s="36" t="s">
        <v>554</v>
      </c>
      <c r="Z34" s="36" t="s">
        <v>102</v>
      </c>
      <c r="AA34" s="36" t="s">
        <v>93</v>
      </c>
      <c r="AB34" s="36" t="s">
        <v>96</v>
      </c>
      <c r="AC34" s="36" t="s">
        <v>554</v>
      </c>
      <c r="AD34" s="36" t="s">
        <v>102</v>
      </c>
      <c r="AE34" s="36" t="s">
        <v>93</v>
      </c>
      <c r="AF34" s="36" t="s">
        <v>96</v>
      </c>
      <c r="AG34" s="36" t="s">
        <v>554</v>
      </c>
      <c r="AH34" s="36" t="s">
        <v>102</v>
      </c>
      <c r="AI34" s="36" t="s">
        <v>93</v>
      </c>
      <c r="AJ34" s="36" t="s">
        <v>96</v>
      </c>
      <c r="AK34" s="36" t="s">
        <v>554</v>
      </c>
      <c r="AL34" s="37" t="s">
        <v>102</v>
      </c>
      <c r="AM34" s="36" t="s">
        <v>93</v>
      </c>
      <c r="AN34" s="36" t="s">
        <v>96</v>
      </c>
      <c r="AO34" s="36" t="s">
        <v>554</v>
      </c>
      <c r="AP34" s="37" t="s">
        <v>102</v>
      </c>
    </row>
    <row r="35" spans="2:42" x14ac:dyDescent="0.2">
      <c r="B35" s="31" t="s">
        <v>538</v>
      </c>
      <c r="C35" s="6">
        <v>13102157</v>
      </c>
      <c r="D35" s="6">
        <v>9092048</v>
      </c>
      <c r="E35" s="6">
        <v>11015735</v>
      </c>
      <c r="F35" s="6">
        <v>12677355</v>
      </c>
      <c r="G35" s="6">
        <v>8555253</v>
      </c>
      <c r="H35" s="6">
        <v>10628170</v>
      </c>
      <c r="I35" s="6">
        <v>7287147</v>
      </c>
      <c r="J35" s="6">
        <v>5925684</v>
      </c>
      <c r="K35" s="6">
        <v>6151593</v>
      </c>
      <c r="L35" s="6">
        <v>12581483</v>
      </c>
      <c r="M35" s="6">
        <v>14905989</v>
      </c>
      <c r="N35" s="6">
        <v>11022715</v>
      </c>
      <c r="O35" s="6">
        <v>14746598</v>
      </c>
      <c r="P35" s="6">
        <v>9139405</v>
      </c>
      <c r="Q35" s="6">
        <v>9076357</v>
      </c>
      <c r="R35" s="6">
        <v>8736092</v>
      </c>
      <c r="S35" s="6">
        <v>7820700</v>
      </c>
      <c r="T35" s="6">
        <v>6281801</v>
      </c>
      <c r="U35" s="6">
        <v>9290308</v>
      </c>
      <c r="V35" s="6">
        <v>10580440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103</v>
      </c>
      <c r="AN35" s="6">
        <v>493</v>
      </c>
      <c r="AO35" s="6">
        <v>130</v>
      </c>
      <c r="AP35" s="6">
        <v>0</v>
      </c>
    </row>
    <row r="36" spans="2:42" x14ac:dyDescent="0.2">
      <c r="B36" s="31" t="s">
        <v>539</v>
      </c>
      <c r="C36" s="6">
        <v>30622261</v>
      </c>
      <c r="D36" s="6">
        <v>37887183</v>
      </c>
      <c r="E36" s="6">
        <v>35418430</v>
      </c>
      <c r="F36" s="6">
        <v>87018051</v>
      </c>
      <c r="G36" s="6">
        <v>47250892</v>
      </c>
      <c r="H36" s="6">
        <v>51108025</v>
      </c>
      <c r="I36" s="6">
        <v>38208026</v>
      </c>
      <c r="J36" s="6">
        <v>55105687</v>
      </c>
      <c r="K36" s="6">
        <v>36567524</v>
      </c>
      <c r="L36" s="6">
        <v>34437407</v>
      </c>
      <c r="M36" s="6">
        <v>43410596</v>
      </c>
      <c r="N36" s="6">
        <v>78142754</v>
      </c>
      <c r="O36" s="6">
        <v>70975403</v>
      </c>
      <c r="P36" s="6">
        <v>40392593</v>
      </c>
      <c r="Q36" s="6">
        <v>38541746</v>
      </c>
      <c r="R36" s="6">
        <v>49834664</v>
      </c>
      <c r="S36" s="6">
        <v>22776821</v>
      </c>
      <c r="T36" s="6">
        <v>34104951</v>
      </c>
      <c r="U36" s="6">
        <v>49001531</v>
      </c>
      <c r="V36" s="6">
        <v>62035442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538</v>
      </c>
      <c r="AO36" s="6">
        <v>924</v>
      </c>
      <c r="AP36" s="6">
        <v>0</v>
      </c>
    </row>
    <row r="37" spans="2:42" x14ac:dyDescent="0.2">
      <c r="B37" s="31" t="s">
        <v>540</v>
      </c>
      <c r="C37" s="6">
        <v>12521733</v>
      </c>
      <c r="D37" s="6">
        <v>16935885</v>
      </c>
      <c r="E37" s="6">
        <v>20958845</v>
      </c>
      <c r="F37" s="6">
        <v>33401695</v>
      </c>
      <c r="G37" s="6">
        <v>6580364</v>
      </c>
      <c r="H37" s="6">
        <v>5567472</v>
      </c>
      <c r="I37" s="6">
        <v>616280</v>
      </c>
      <c r="J37" s="6">
        <v>10654353</v>
      </c>
      <c r="K37" s="6">
        <v>6976821</v>
      </c>
      <c r="L37" s="6">
        <v>7887140</v>
      </c>
      <c r="M37" s="6">
        <v>9859808</v>
      </c>
      <c r="N37" s="6">
        <v>11580175</v>
      </c>
      <c r="O37" s="6">
        <v>13698690</v>
      </c>
      <c r="P37" s="6">
        <v>13229860</v>
      </c>
      <c r="Q37" s="6">
        <v>11036677</v>
      </c>
      <c r="R37" s="6">
        <v>7866654</v>
      </c>
      <c r="S37" s="6">
        <v>7128283</v>
      </c>
      <c r="T37" s="6">
        <v>5536228</v>
      </c>
      <c r="U37" s="6">
        <v>7976939</v>
      </c>
      <c r="V37" s="6">
        <v>10527985</v>
      </c>
      <c r="W37" s="6">
        <v>0</v>
      </c>
      <c r="X37" s="6">
        <v>0</v>
      </c>
      <c r="Y37" s="6">
        <v>0</v>
      </c>
      <c r="Z37" s="6">
        <v>91932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</row>
    <row r="38" spans="2:42" x14ac:dyDescent="0.2">
      <c r="B38" s="31" t="s">
        <v>543</v>
      </c>
      <c r="C38" s="6">
        <v>736987911</v>
      </c>
      <c r="D38" s="6">
        <v>772115305</v>
      </c>
      <c r="E38" s="6">
        <v>786387010</v>
      </c>
      <c r="F38" s="6">
        <v>814552767</v>
      </c>
      <c r="G38" s="6">
        <v>661685213</v>
      </c>
      <c r="H38" s="6">
        <v>668037785</v>
      </c>
      <c r="I38" s="6">
        <v>674347663</v>
      </c>
      <c r="J38" s="6">
        <v>718982668</v>
      </c>
      <c r="K38" s="6">
        <v>567416908</v>
      </c>
      <c r="L38" s="6">
        <v>597744828</v>
      </c>
      <c r="M38" s="6">
        <v>611066507</v>
      </c>
      <c r="N38" s="6">
        <v>643470975</v>
      </c>
      <c r="O38" s="6">
        <v>477880870</v>
      </c>
      <c r="P38" s="6">
        <v>508960824</v>
      </c>
      <c r="Q38" s="6">
        <v>524578057</v>
      </c>
      <c r="R38" s="6">
        <v>564480538</v>
      </c>
      <c r="S38" s="6">
        <v>436295987</v>
      </c>
      <c r="T38" s="6">
        <v>463202104</v>
      </c>
      <c r="U38" s="6">
        <v>468729113</v>
      </c>
      <c r="V38" s="6">
        <v>495097288</v>
      </c>
      <c r="W38" s="6">
        <v>31854851</v>
      </c>
      <c r="X38" s="6">
        <v>34277384</v>
      </c>
      <c r="Y38" s="6">
        <v>34945832</v>
      </c>
      <c r="Z38" s="6">
        <v>34926050</v>
      </c>
      <c r="AA38" s="6">
        <v>25834071</v>
      </c>
      <c r="AB38" s="6">
        <v>29150364</v>
      </c>
      <c r="AC38" s="6">
        <v>31506084</v>
      </c>
      <c r="AD38" s="6">
        <v>29423380</v>
      </c>
      <c r="AE38" s="6">
        <v>18808949</v>
      </c>
      <c r="AF38" s="6">
        <v>20746668</v>
      </c>
      <c r="AG38" s="6">
        <v>22506545</v>
      </c>
      <c r="AH38" s="6">
        <v>22184296</v>
      </c>
      <c r="AI38" s="6">
        <v>16126509</v>
      </c>
      <c r="AJ38" s="6">
        <v>16745491</v>
      </c>
      <c r="AK38" s="6">
        <v>17601240</v>
      </c>
      <c r="AL38" s="6">
        <v>17162183</v>
      </c>
      <c r="AM38" s="6">
        <v>15531016</v>
      </c>
      <c r="AN38" s="6">
        <v>16515247</v>
      </c>
      <c r="AO38" s="6">
        <v>16760866</v>
      </c>
      <c r="AP38" s="6">
        <v>15886145</v>
      </c>
    </row>
    <row r="39" spans="2:42" x14ac:dyDescent="0.2">
      <c r="B39" s="31" t="s">
        <v>544</v>
      </c>
      <c r="C39" s="6">
        <v>18063568</v>
      </c>
      <c r="D39" s="6">
        <v>19394966</v>
      </c>
      <c r="E39" s="6">
        <v>19643910</v>
      </c>
      <c r="F39" s="6">
        <v>20178401</v>
      </c>
      <c r="G39" s="6">
        <v>17276892</v>
      </c>
      <c r="H39" s="6">
        <v>17805038</v>
      </c>
      <c r="I39" s="6">
        <v>17794767</v>
      </c>
      <c r="J39" s="6">
        <v>17864869</v>
      </c>
      <c r="K39" s="6">
        <v>16858755</v>
      </c>
      <c r="L39" s="6">
        <v>17831322</v>
      </c>
      <c r="M39" s="6">
        <v>17680168</v>
      </c>
      <c r="N39" s="6">
        <v>17748943</v>
      </c>
      <c r="O39" s="6">
        <v>15490449</v>
      </c>
      <c r="P39" s="6">
        <v>16002734</v>
      </c>
      <c r="Q39" s="6">
        <v>16410892</v>
      </c>
      <c r="R39" s="6">
        <v>16614006</v>
      </c>
      <c r="S39" s="6">
        <v>13860663</v>
      </c>
      <c r="T39" s="6">
        <v>14123410</v>
      </c>
      <c r="U39" s="6">
        <v>14546963</v>
      </c>
      <c r="V39" s="6">
        <v>15599553</v>
      </c>
      <c r="W39" s="6">
        <v>605699</v>
      </c>
      <c r="X39" s="6">
        <v>492186</v>
      </c>
      <c r="Y39" s="6">
        <v>520846</v>
      </c>
      <c r="Z39" s="6">
        <v>497141</v>
      </c>
      <c r="AA39" s="6">
        <v>562508</v>
      </c>
      <c r="AB39" s="6">
        <v>555253</v>
      </c>
      <c r="AC39" s="6">
        <v>439553</v>
      </c>
      <c r="AD39" s="6">
        <v>577257</v>
      </c>
      <c r="AE39" s="6">
        <v>348025</v>
      </c>
      <c r="AF39" s="6">
        <v>417971</v>
      </c>
      <c r="AG39" s="6">
        <v>485322</v>
      </c>
      <c r="AH39" s="6">
        <v>492156</v>
      </c>
      <c r="AI39" s="6">
        <v>291179</v>
      </c>
      <c r="AJ39" s="6">
        <v>306965</v>
      </c>
      <c r="AK39" s="6">
        <v>338545</v>
      </c>
      <c r="AL39" s="6">
        <v>352252</v>
      </c>
      <c r="AM39" s="6">
        <v>208393</v>
      </c>
      <c r="AN39" s="6">
        <v>242902</v>
      </c>
      <c r="AO39" s="6">
        <v>216241</v>
      </c>
      <c r="AP39" s="6">
        <v>276650</v>
      </c>
    </row>
    <row r="40" spans="2:42" x14ac:dyDescent="0.2">
      <c r="B40" s="31" t="s">
        <v>627</v>
      </c>
      <c r="C40" s="6">
        <v>2626147</v>
      </c>
      <c r="D40" s="6">
        <v>2785346</v>
      </c>
      <c r="E40" s="6">
        <v>2872839</v>
      </c>
      <c r="F40" s="6">
        <v>3409846</v>
      </c>
      <c r="G40" s="6">
        <v>2107333</v>
      </c>
      <c r="H40" s="6">
        <v>210168</v>
      </c>
      <c r="I40" s="6">
        <v>2065995</v>
      </c>
      <c r="J40" s="6">
        <v>2488983</v>
      </c>
      <c r="K40" s="6">
        <v>0</v>
      </c>
      <c r="L40" s="6">
        <v>0</v>
      </c>
      <c r="M40" s="6">
        <v>2155425</v>
      </c>
      <c r="N40" s="6">
        <v>2200300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104000</v>
      </c>
      <c r="X40" s="6">
        <v>107500</v>
      </c>
      <c r="Y40" s="6">
        <v>88200</v>
      </c>
      <c r="Z40" s="6">
        <v>88000</v>
      </c>
      <c r="AA40" s="6">
        <v>130500</v>
      </c>
      <c r="AB40" s="6">
        <v>117000</v>
      </c>
      <c r="AC40" s="6">
        <v>109000</v>
      </c>
      <c r="AD40" s="6">
        <v>103500</v>
      </c>
      <c r="AE40" s="6">
        <v>0</v>
      </c>
      <c r="AF40" s="6">
        <v>0</v>
      </c>
      <c r="AG40" s="6">
        <v>130000</v>
      </c>
      <c r="AH40" s="6">
        <v>130000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</row>
    <row r="41" spans="2:42" x14ac:dyDescent="0.2">
      <c r="B41" s="31" t="s">
        <v>541</v>
      </c>
      <c r="C41" s="6">
        <v>4775208</v>
      </c>
      <c r="D41" s="6">
        <v>4891705</v>
      </c>
      <c r="E41" s="6">
        <v>6459819</v>
      </c>
      <c r="F41" s="6">
        <v>11643003</v>
      </c>
      <c r="G41" s="6">
        <v>5993693</v>
      </c>
      <c r="H41" s="6">
        <v>6791191</v>
      </c>
      <c r="I41" s="6">
        <v>5932356</v>
      </c>
      <c r="J41" s="6">
        <v>5693425</v>
      </c>
      <c r="K41" s="6">
        <v>5210029</v>
      </c>
      <c r="L41" s="6">
        <v>4430286</v>
      </c>
      <c r="M41" s="6">
        <v>5811942</v>
      </c>
      <c r="N41" s="6">
        <v>5692583</v>
      </c>
      <c r="O41" s="6">
        <v>7048150</v>
      </c>
      <c r="P41" s="6">
        <v>8552856</v>
      </c>
      <c r="Q41" s="6">
        <v>7277601</v>
      </c>
      <c r="R41" s="6">
        <v>5163471</v>
      </c>
      <c r="S41" s="6">
        <v>3473586</v>
      </c>
      <c r="T41" s="6">
        <v>8295392</v>
      </c>
      <c r="U41" s="6">
        <v>1891371</v>
      </c>
      <c r="V41" s="6">
        <v>6525688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</row>
    <row r="42" spans="2:42" x14ac:dyDescent="0.2">
      <c r="B42" s="31" t="s">
        <v>531</v>
      </c>
      <c r="C42" s="30">
        <f>SUM(C35:C41)</f>
        <v>818698985</v>
      </c>
      <c r="D42" s="30">
        <f t="shared" ref="D42:AL42" si="6">SUM(D35:D41)</f>
        <v>863102438</v>
      </c>
      <c r="E42" s="30">
        <f t="shared" si="6"/>
        <v>882756588</v>
      </c>
      <c r="F42" s="30">
        <f t="shared" ref="F42" si="7">SUM(F35:F41)</f>
        <v>982881118</v>
      </c>
      <c r="G42" s="30">
        <f t="shared" si="6"/>
        <v>749449640</v>
      </c>
      <c r="H42" s="30">
        <f t="shared" si="6"/>
        <v>760147849</v>
      </c>
      <c r="I42" s="30">
        <f t="shared" si="6"/>
        <v>746252234</v>
      </c>
      <c r="J42" s="30">
        <f t="shared" si="6"/>
        <v>816715669</v>
      </c>
      <c r="K42" s="30">
        <f t="shared" si="6"/>
        <v>639181630</v>
      </c>
      <c r="L42" s="30">
        <f t="shared" si="6"/>
        <v>674912466</v>
      </c>
      <c r="M42" s="30">
        <f t="shared" si="6"/>
        <v>704890435</v>
      </c>
      <c r="N42" s="30">
        <f>SUM(N35:N41)</f>
        <v>769858445</v>
      </c>
      <c r="O42" s="30">
        <f t="shared" si="6"/>
        <v>599840160</v>
      </c>
      <c r="P42" s="30">
        <f t="shared" si="6"/>
        <v>596278272</v>
      </c>
      <c r="Q42" s="30">
        <f t="shared" si="6"/>
        <v>606921330</v>
      </c>
      <c r="R42" s="30">
        <f t="shared" si="6"/>
        <v>652695425</v>
      </c>
      <c r="S42" s="30">
        <f t="shared" si="6"/>
        <v>491356040</v>
      </c>
      <c r="T42" s="30">
        <f t="shared" si="6"/>
        <v>531543886</v>
      </c>
      <c r="U42" s="30">
        <f t="shared" si="6"/>
        <v>551436225</v>
      </c>
      <c r="V42" s="30">
        <f t="shared" si="6"/>
        <v>600366396</v>
      </c>
      <c r="W42" s="30">
        <f t="shared" si="6"/>
        <v>32564550</v>
      </c>
      <c r="X42" s="30">
        <f t="shared" si="6"/>
        <v>34877070</v>
      </c>
      <c r="Y42" s="30">
        <f t="shared" si="6"/>
        <v>35554878</v>
      </c>
      <c r="Z42" s="30">
        <f t="shared" si="6"/>
        <v>35603123</v>
      </c>
      <c r="AA42" s="30">
        <f t="shared" si="6"/>
        <v>26527079</v>
      </c>
      <c r="AB42" s="30">
        <f t="shared" si="6"/>
        <v>29822617</v>
      </c>
      <c r="AC42" s="30">
        <f t="shared" si="6"/>
        <v>32054637</v>
      </c>
      <c r="AD42" s="30">
        <f t="shared" si="6"/>
        <v>30104137</v>
      </c>
      <c r="AE42" s="30">
        <f t="shared" si="6"/>
        <v>19156974</v>
      </c>
      <c r="AF42" s="30">
        <f t="shared" si="6"/>
        <v>21164639</v>
      </c>
      <c r="AG42" s="30">
        <f t="shared" si="6"/>
        <v>23121867</v>
      </c>
      <c r="AH42" s="30">
        <f t="shared" si="6"/>
        <v>22806452</v>
      </c>
      <c r="AI42" s="30">
        <f t="shared" si="6"/>
        <v>16417688</v>
      </c>
      <c r="AJ42" s="30">
        <f t="shared" si="6"/>
        <v>17052456</v>
      </c>
      <c r="AK42" s="30">
        <f t="shared" si="6"/>
        <v>17939785</v>
      </c>
      <c r="AL42" s="30">
        <f t="shared" si="6"/>
        <v>17514435</v>
      </c>
      <c r="AM42" s="30">
        <f t="shared" ref="AM42:AP42" si="8">SUM(AM35:AM41)</f>
        <v>15739512</v>
      </c>
      <c r="AN42" s="30">
        <f t="shared" si="8"/>
        <v>16759180</v>
      </c>
      <c r="AO42" s="30">
        <f t="shared" si="8"/>
        <v>16978161</v>
      </c>
      <c r="AP42" s="30">
        <f t="shared" si="8"/>
        <v>16162795</v>
      </c>
    </row>
    <row r="43" spans="2:42" ht="17" thickBot="1" x14ac:dyDescent="0.25">
      <c r="B43" s="31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2:42" x14ac:dyDescent="0.2">
      <c r="B44" s="8"/>
      <c r="C44" s="58">
        <v>2018</v>
      </c>
      <c r="D44" s="59"/>
      <c r="E44" s="59"/>
      <c r="F44" s="59"/>
      <c r="G44" s="60">
        <v>2017</v>
      </c>
      <c r="H44" s="60"/>
      <c r="I44" s="60"/>
      <c r="J44" s="60"/>
      <c r="K44" s="57">
        <v>2016</v>
      </c>
      <c r="L44" s="57"/>
      <c r="M44" s="57"/>
      <c r="N44" s="57"/>
      <c r="O44" s="66">
        <v>2015</v>
      </c>
      <c r="P44" s="66"/>
      <c r="Q44" s="66"/>
      <c r="R44" s="66"/>
      <c r="S44" s="65">
        <v>2014</v>
      </c>
      <c r="T44" s="65"/>
      <c r="U44" s="65"/>
      <c r="V44" s="65"/>
      <c r="W44" s="59" t="s">
        <v>626</v>
      </c>
      <c r="X44" s="59"/>
      <c r="Y44" s="59"/>
      <c r="Z44" s="59"/>
      <c r="AA44" s="60" t="s">
        <v>680</v>
      </c>
      <c r="AB44" s="60"/>
      <c r="AC44" s="60"/>
      <c r="AD44" s="60"/>
      <c r="AE44" s="57" t="s">
        <v>679</v>
      </c>
      <c r="AF44" s="57"/>
      <c r="AG44" s="57"/>
      <c r="AH44" s="57"/>
      <c r="AI44" s="66" t="s">
        <v>678</v>
      </c>
      <c r="AJ44" s="66"/>
      <c r="AK44" s="66"/>
      <c r="AL44" s="70"/>
      <c r="AM44" s="65" t="s">
        <v>677</v>
      </c>
      <c r="AN44" s="65"/>
      <c r="AO44" s="65"/>
      <c r="AP44" s="71"/>
    </row>
    <row r="45" spans="2:42" ht="17" thickBot="1" x14ac:dyDescent="0.25">
      <c r="B45" s="8" t="s">
        <v>19</v>
      </c>
      <c r="C45" s="35" t="s">
        <v>93</v>
      </c>
      <c r="D45" s="36" t="s">
        <v>96</v>
      </c>
      <c r="E45" s="36" t="s">
        <v>554</v>
      </c>
      <c r="F45" s="36" t="s">
        <v>102</v>
      </c>
      <c r="G45" s="36" t="s">
        <v>93</v>
      </c>
      <c r="H45" s="36" t="s">
        <v>96</v>
      </c>
      <c r="I45" s="36" t="s">
        <v>554</v>
      </c>
      <c r="J45" s="36" t="s">
        <v>102</v>
      </c>
      <c r="K45" s="36" t="s">
        <v>93</v>
      </c>
      <c r="L45" s="36" t="s">
        <v>96</v>
      </c>
      <c r="M45" s="36" t="s">
        <v>554</v>
      </c>
      <c r="N45" s="36" t="s">
        <v>102</v>
      </c>
      <c r="O45" s="36" t="s">
        <v>93</v>
      </c>
      <c r="P45" s="36" t="s">
        <v>96</v>
      </c>
      <c r="Q45" s="36" t="s">
        <v>554</v>
      </c>
      <c r="R45" s="36" t="s">
        <v>102</v>
      </c>
      <c r="S45" s="36" t="s">
        <v>93</v>
      </c>
      <c r="T45" s="36" t="s">
        <v>96</v>
      </c>
      <c r="U45" s="36" t="s">
        <v>554</v>
      </c>
      <c r="V45" s="36" t="s">
        <v>102</v>
      </c>
      <c r="W45" s="36" t="s">
        <v>93</v>
      </c>
      <c r="X45" s="36" t="s">
        <v>96</v>
      </c>
      <c r="Y45" s="36" t="s">
        <v>554</v>
      </c>
      <c r="Z45" s="36" t="s">
        <v>102</v>
      </c>
      <c r="AA45" s="36" t="s">
        <v>93</v>
      </c>
      <c r="AB45" s="36" t="s">
        <v>96</v>
      </c>
      <c r="AC45" s="36" t="s">
        <v>554</v>
      </c>
      <c r="AD45" s="36" t="s">
        <v>102</v>
      </c>
      <c r="AE45" s="36" t="s">
        <v>93</v>
      </c>
      <c r="AF45" s="36" t="s">
        <v>96</v>
      </c>
      <c r="AG45" s="36" t="s">
        <v>554</v>
      </c>
      <c r="AH45" s="36" t="s">
        <v>102</v>
      </c>
      <c r="AI45" s="36" t="s">
        <v>93</v>
      </c>
      <c r="AJ45" s="36" t="s">
        <v>96</v>
      </c>
      <c r="AK45" s="36" t="s">
        <v>554</v>
      </c>
      <c r="AL45" s="37" t="s">
        <v>102</v>
      </c>
      <c r="AM45" s="36" t="s">
        <v>93</v>
      </c>
      <c r="AN45" s="36" t="s">
        <v>96</v>
      </c>
      <c r="AO45" s="36" t="s">
        <v>554</v>
      </c>
      <c r="AP45" s="37" t="s">
        <v>102</v>
      </c>
    </row>
    <row r="46" spans="2:42" x14ac:dyDescent="0.2">
      <c r="B46" s="31" t="s">
        <v>538</v>
      </c>
      <c r="C46" s="6">
        <v>537442</v>
      </c>
      <c r="D46" s="6">
        <v>598839</v>
      </c>
      <c r="E46" s="6">
        <v>709187</v>
      </c>
      <c r="F46" s="11">
        <v>1588769</v>
      </c>
      <c r="G46" s="11">
        <v>457712</v>
      </c>
      <c r="H46" s="11">
        <v>592850</v>
      </c>
      <c r="I46" s="11">
        <v>334517</v>
      </c>
      <c r="J46" s="11">
        <v>557997</v>
      </c>
      <c r="K46" s="11">
        <v>294197</v>
      </c>
      <c r="L46" s="11">
        <v>295140</v>
      </c>
      <c r="M46" s="11"/>
      <c r="N46" s="11">
        <v>322788</v>
      </c>
      <c r="O46" s="11">
        <v>329987</v>
      </c>
      <c r="P46" s="11">
        <v>296427</v>
      </c>
      <c r="Q46" s="11">
        <v>363695</v>
      </c>
      <c r="R46" s="11">
        <v>202933</v>
      </c>
      <c r="S46" s="11">
        <v>382323</v>
      </c>
      <c r="T46" s="11">
        <v>692124</v>
      </c>
      <c r="U46" s="11">
        <v>847460</v>
      </c>
      <c r="V46" s="11">
        <v>1094964</v>
      </c>
      <c r="W46" s="11">
        <v>1769</v>
      </c>
      <c r="X46" s="11">
        <v>1743</v>
      </c>
      <c r="Y46" s="11">
        <v>1807</v>
      </c>
      <c r="Z46" s="11">
        <v>1718</v>
      </c>
      <c r="AA46" s="6">
        <v>1490</v>
      </c>
      <c r="AB46" s="11">
        <v>1554</v>
      </c>
      <c r="AC46" s="11">
        <v>1660</v>
      </c>
      <c r="AD46" s="11">
        <v>1696</v>
      </c>
      <c r="AE46" s="11">
        <v>1578</v>
      </c>
      <c r="AF46" s="11">
        <v>1552</v>
      </c>
      <c r="AG46" s="11"/>
      <c r="AH46" s="11">
        <v>1482</v>
      </c>
      <c r="AI46" s="11">
        <v>1463</v>
      </c>
      <c r="AJ46" s="11">
        <v>1551</v>
      </c>
      <c r="AK46" s="11">
        <v>1717</v>
      </c>
      <c r="AL46" s="11">
        <v>1572</v>
      </c>
      <c r="AM46" s="11">
        <v>1634</v>
      </c>
      <c r="AN46" s="11">
        <v>1716</v>
      </c>
      <c r="AO46" s="11">
        <v>1632</v>
      </c>
      <c r="AP46" s="11">
        <v>1571</v>
      </c>
    </row>
    <row r="47" spans="2:42" x14ac:dyDescent="0.2">
      <c r="B47" s="31" t="s">
        <v>543</v>
      </c>
      <c r="C47" s="6">
        <v>183698418</v>
      </c>
      <c r="D47" s="6">
        <v>191475316</v>
      </c>
      <c r="E47" s="6">
        <v>199232995</v>
      </c>
      <c r="F47" s="11">
        <v>238297732</v>
      </c>
      <c r="G47" s="11">
        <v>154873205</v>
      </c>
      <c r="H47" s="11">
        <v>161579672</v>
      </c>
      <c r="I47" s="11">
        <v>167957762</v>
      </c>
      <c r="J47" s="11">
        <v>181002783</v>
      </c>
      <c r="K47" s="11">
        <v>131318977</v>
      </c>
      <c r="L47" s="11">
        <v>136873449</v>
      </c>
      <c r="M47" s="11"/>
      <c r="N47" s="11">
        <v>150221960</v>
      </c>
      <c r="O47" s="11">
        <v>110499978</v>
      </c>
      <c r="P47" s="11">
        <v>115950999</v>
      </c>
      <c r="Q47" s="11">
        <v>121074125</v>
      </c>
      <c r="R47" s="11">
        <v>127732158</v>
      </c>
      <c r="S47" s="11">
        <v>94470185</v>
      </c>
      <c r="T47" s="11">
        <v>97804941</v>
      </c>
      <c r="U47" s="11">
        <v>101401027</v>
      </c>
      <c r="V47" s="11">
        <v>106271277</v>
      </c>
      <c r="W47" s="11">
        <v>2097428</v>
      </c>
      <c r="X47" s="11">
        <v>2120813</v>
      </c>
      <c r="Y47" s="11">
        <v>2335896</v>
      </c>
      <c r="Z47" s="11">
        <v>3298132</v>
      </c>
      <c r="AA47" s="6">
        <v>1784083</v>
      </c>
      <c r="AB47" s="11">
        <v>1837902</v>
      </c>
      <c r="AC47" s="11">
        <v>1933358</v>
      </c>
      <c r="AD47" s="11">
        <v>2024561</v>
      </c>
      <c r="AE47" s="11">
        <v>1782425</v>
      </c>
      <c r="AF47" s="11">
        <v>1764756</v>
      </c>
      <c r="AG47" s="11"/>
      <c r="AH47" s="11">
        <v>1724935</v>
      </c>
      <c r="AI47" s="11">
        <v>1452216</v>
      </c>
      <c r="AJ47" s="11">
        <v>1503620</v>
      </c>
      <c r="AK47" s="11">
        <v>1686584</v>
      </c>
      <c r="AL47" s="11">
        <v>1725724</v>
      </c>
      <c r="AM47" s="11">
        <v>1217723</v>
      </c>
      <c r="AN47" s="11">
        <v>1238764</v>
      </c>
      <c r="AO47" s="11">
        <v>1328997</v>
      </c>
      <c r="AP47" s="11">
        <v>1365412</v>
      </c>
    </row>
    <row r="48" spans="2:42" x14ac:dyDescent="0.2">
      <c r="B48" s="31" t="s">
        <v>541</v>
      </c>
      <c r="C48" s="6">
        <v>7432</v>
      </c>
      <c r="D48" s="6">
        <v>0</v>
      </c>
      <c r="E48" s="6">
        <v>283721</v>
      </c>
      <c r="F48" s="11">
        <v>528148</v>
      </c>
      <c r="G48" s="11">
        <v>348</v>
      </c>
      <c r="H48" s="11">
        <v>19251</v>
      </c>
      <c r="I48" s="11">
        <v>19807</v>
      </c>
      <c r="J48" s="11">
        <v>8081</v>
      </c>
      <c r="K48" s="11">
        <v>0</v>
      </c>
      <c r="L48" s="11">
        <v>0</v>
      </c>
      <c r="M48" s="11"/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6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/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</row>
    <row r="49" spans="2:43" x14ac:dyDescent="0.2">
      <c r="B49" s="31" t="s">
        <v>531</v>
      </c>
      <c r="C49" s="30">
        <f>SUM(C46:C48)</f>
        <v>184243292</v>
      </c>
      <c r="D49" s="30">
        <f t="shared" ref="D49:AL49" si="9">SUM(D46:D48)</f>
        <v>192074155</v>
      </c>
      <c r="E49" s="30">
        <f t="shared" si="9"/>
        <v>200225903</v>
      </c>
      <c r="F49" s="30">
        <f t="shared" ref="F49" si="10">SUM(F46:F48)</f>
        <v>240414649</v>
      </c>
      <c r="G49" s="30">
        <f t="shared" si="9"/>
        <v>155331265</v>
      </c>
      <c r="H49" s="30">
        <f t="shared" si="9"/>
        <v>162191773</v>
      </c>
      <c r="I49" s="30">
        <f t="shared" si="9"/>
        <v>168312086</v>
      </c>
      <c r="J49" s="30">
        <f t="shared" si="9"/>
        <v>181568861</v>
      </c>
      <c r="K49" s="30">
        <f t="shared" si="9"/>
        <v>131613174</v>
      </c>
      <c r="L49" s="30">
        <f t="shared" si="9"/>
        <v>137168589</v>
      </c>
      <c r="M49" s="30">
        <f t="shared" si="9"/>
        <v>0</v>
      </c>
      <c r="N49" s="30">
        <f t="shared" si="9"/>
        <v>150544748</v>
      </c>
      <c r="O49" s="30">
        <f t="shared" si="9"/>
        <v>110829965</v>
      </c>
      <c r="P49" s="30">
        <f t="shared" si="9"/>
        <v>116247426</v>
      </c>
      <c r="Q49" s="30">
        <f t="shared" si="9"/>
        <v>121437820</v>
      </c>
      <c r="R49" s="30">
        <f t="shared" si="9"/>
        <v>127935091</v>
      </c>
      <c r="S49" s="30">
        <f t="shared" si="9"/>
        <v>94852508</v>
      </c>
      <c r="T49" s="30">
        <f t="shared" si="9"/>
        <v>98497065</v>
      </c>
      <c r="U49" s="30">
        <f t="shared" si="9"/>
        <v>102248487</v>
      </c>
      <c r="V49" s="30">
        <f t="shared" si="9"/>
        <v>107366241</v>
      </c>
      <c r="W49" s="30">
        <f t="shared" si="9"/>
        <v>2099197</v>
      </c>
      <c r="X49" s="30">
        <f t="shared" si="9"/>
        <v>2122556</v>
      </c>
      <c r="Y49" s="30">
        <f t="shared" si="9"/>
        <v>2337703</v>
      </c>
      <c r="Z49" s="30">
        <f t="shared" si="9"/>
        <v>3299850</v>
      </c>
      <c r="AA49" s="30">
        <f t="shared" si="9"/>
        <v>1785573</v>
      </c>
      <c r="AB49" s="30">
        <f t="shared" si="9"/>
        <v>1839456</v>
      </c>
      <c r="AC49" s="30">
        <f t="shared" si="9"/>
        <v>1935018</v>
      </c>
      <c r="AD49" s="30">
        <f t="shared" si="9"/>
        <v>2026257</v>
      </c>
      <c r="AE49" s="30">
        <f t="shared" si="9"/>
        <v>1784003</v>
      </c>
      <c r="AF49" s="30">
        <f t="shared" si="9"/>
        <v>1766308</v>
      </c>
      <c r="AG49" s="30">
        <f>SUM(AG46:AG48)</f>
        <v>0</v>
      </c>
      <c r="AH49" s="30">
        <f t="shared" si="9"/>
        <v>1726417</v>
      </c>
      <c r="AI49" s="30">
        <f t="shared" si="9"/>
        <v>1453679</v>
      </c>
      <c r="AJ49" s="30">
        <f t="shared" si="9"/>
        <v>1505171</v>
      </c>
      <c r="AK49" s="30">
        <f t="shared" si="9"/>
        <v>1688301</v>
      </c>
      <c r="AL49" s="30">
        <f t="shared" si="9"/>
        <v>1727296</v>
      </c>
      <c r="AM49" s="30">
        <f t="shared" ref="AM49:AP49" si="11">SUM(AM46:AM48)</f>
        <v>1219357</v>
      </c>
      <c r="AN49" s="30">
        <f t="shared" si="11"/>
        <v>1240480</v>
      </c>
      <c r="AO49" s="30">
        <f t="shared" si="11"/>
        <v>1330629</v>
      </c>
      <c r="AP49" s="30">
        <f t="shared" si="11"/>
        <v>1366983</v>
      </c>
    </row>
    <row r="50" spans="2:43" ht="17" thickBot="1" x14ac:dyDescent="0.25">
      <c r="B50" s="3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</row>
    <row r="51" spans="2:43" x14ac:dyDescent="0.2">
      <c r="B51" s="8"/>
      <c r="C51" s="58">
        <v>2018</v>
      </c>
      <c r="D51" s="59"/>
      <c r="E51" s="59"/>
      <c r="F51" s="59"/>
      <c r="G51" s="60">
        <v>2017</v>
      </c>
      <c r="H51" s="60"/>
      <c r="I51" s="60"/>
      <c r="J51" s="60"/>
      <c r="K51" s="57">
        <v>2016</v>
      </c>
      <c r="L51" s="57"/>
      <c r="M51" s="57"/>
      <c r="N51" s="57"/>
      <c r="O51" s="66">
        <v>2015</v>
      </c>
      <c r="P51" s="66"/>
      <c r="Q51" s="66"/>
      <c r="R51" s="66"/>
      <c r="S51" s="65">
        <v>2014</v>
      </c>
      <c r="T51" s="65"/>
      <c r="U51" s="65"/>
      <c r="V51" s="65"/>
      <c r="W51" s="59" t="s">
        <v>626</v>
      </c>
      <c r="X51" s="59"/>
      <c r="Y51" s="59"/>
      <c r="Z51" s="59"/>
      <c r="AA51" s="60" t="s">
        <v>680</v>
      </c>
      <c r="AB51" s="60"/>
      <c r="AC51" s="60"/>
      <c r="AD51" s="60"/>
      <c r="AE51" s="57" t="s">
        <v>679</v>
      </c>
      <c r="AF51" s="57"/>
      <c r="AG51" s="57"/>
      <c r="AH51" s="57"/>
      <c r="AI51" s="66" t="s">
        <v>678</v>
      </c>
      <c r="AJ51" s="66"/>
      <c r="AK51" s="66"/>
      <c r="AL51" s="70"/>
      <c r="AM51" s="65" t="s">
        <v>677</v>
      </c>
      <c r="AN51" s="65"/>
      <c r="AO51" s="65"/>
      <c r="AP51" s="71"/>
    </row>
    <row r="52" spans="2:43" ht="17" thickBot="1" x14ac:dyDescent="0.25">
      <c r="B52" s="8" t="s">
        <v>21</v>
      </c>
      <c r="C52" s="35" t="s">
        <v>93</v>
      </c>
      <c r="D52" s="36" t="s">
        <v>96</v>
      </c>
      <c r="E52" s="36" t="s">
        <v>554</v>
      </c>
      <c r="F52" s="36" t="s">
        <v>102</v>
      </c>
      <c r="G52" s="36" t="s">
        <v>93</v>
      </c>
      <c r="H52" s="36" t="s">
        <v>96</v>
      </c>
      <c r="I52" s="36" t="s">
        <v>554</v>
      </c>
      <c r="J52" s="36" t="s">
        <v>102</v>
      </c>
      <c r="K52" s="36" t="s">
        <v>93</v>
      </c>
      <c r="L52" s="36" t="s">
        <v>96</v>
      </c>
      <c r="M52" s="36" t="s">
        <v>554</v>
      </c>
      <c r="N52" s="36" t="s">
        <v>102</v>
      </c>
      <c r="O52" s="36" t="s">
        <v>93</v>
      </c>
      <c r="P52" s="36" t="s">
        <v>96</v>
      </c>
      <c r="Q52" s="36" t="s">
        <v>554</v>
      </c>
      <c r="R52" s="36" t="s">
        <v>102</v>
      </c>
      <c r="S52" s="36" t="s">
        <v>93</v>
      </c>
      <c r="T52" s="36" t="s">
        <v>96</v>
      </c>
      <c r="U52" s="36" t="s">
        <v>554</v>
      </c>
      <c r="V52" s="36" t="s">
        <v>102</v>
      </c>
      <c r="W52" s="36" t="s">
        <v>93</v>
      </c>
      <c r="X52" s="36" t="s">
        <v>96</v>
      </c>
      <c r="Y52" s="36" t="s">
        <v>554</v>
      </c>
      <c r="Z52" s="36" t="s">
        <v>102</v>
      </c>
      <c r="AA52" s="36" t="s">
        <v>93</v>
      </c>
      <c r="AB52" s="36" t="s">
        <v>96</v>
      </c>
      <c r="AC52" s="36" t="s">
        <v>554</v>
      </c>
      <c r="AD52" s="36" t="s">
        <v>102</v>
      </c>
      <c r="AE52" s="36" t="s">
        <v>93</v>
      </c>
      <c r="AF52" s="36" t="s">
        <v>96</v>
      </c>
      <c r="AG52" s="36" t="s">
        <v>554</v>
      </c>
      <c r="AH52" s="36" t="s">
        <v>102</v>
      </c>
      <c r="AI52" s="36" t="s">
        <v>93</v>
      </c>
      <c r="AJ52" s="36" t="s">
        <v>96</v>
      </c>
      <c r="AK52" s="36" t="s">
        <v>554</v>
      </c>
      <c r="AL52" s="37" t="s">
        <v>102</v>
      </c>
      <c r="AM52" s="36" t="s">
        <v>93</v>
      </c>
      <c r="AN52" s="36" t="s">
        <v>96</v>
      </c>
      <c r="AO52" s="36" t="s">
        <v>554</v>
      </c>
      <c r="AP52" s="37" t="s">
        <v>102</v>
      </c>
    </row>
    <row r="53" spans="2:43" x14ac:dyDescent="0.2">
      <c r="B53" s="31" t="s">
        <v>538</v>
      </c>
      <c r="C53" s="6">
        <v>18253629</v>
      </c>
      <c r="D53" s="6">
        <v>20171581</v>
      </c>
      <c r="E53" s="6">
        <v>12657232</v>
      </c>
      <c r="F53" s="6">
        <v>14835961</v>
      </c>
      <c r="G53" s="6">
        <v>9164284</v>
      </c>
      <c r="H53" s="6">
        <v>22146962</v>
      </c>
      <c r="I53" s="6">
        <v>10202082</v>
      </c>
      <c r="J53" s="6">
        <v>12333389</v>
      </c>
      <c r="K53" s="6">
        <v>10902956</v>
      </c>
      <c r="L53" s="6">
        <v>12435010</v>
      </c>
      <c r="M53" s="6">
        <v>9668551</v>
      </c>
      <c r="N53" s="6">
        <v>10363214</v>
      </c>
      <c r="O53" s="6">
        <v>8579087</v>
      </c>
      <c r="P53" s="6">
        <v>12212076</v>
      </c>
      <c r="Q53" s="6">
        <v>17014476</v>
      </c>
      <c r="R53" s="6">
        <v>10155626</v>
      </c>
      <c r="S53" s="6">
        <v>15745929</v>
      </c>
      <c r="T53" s="6">
        <v>12409082</v>
      </c>
      <c r="U53" s="6">
        <v>9427746</v>
      </c>
      <c r="V53" s="6">
        <v>8986831</v>
      </c>
      <c r="W53" s="6">
        <v>3656</v>
      </c>
      <c r="X53" s="6">
        <v>11136</v>
      </c>
      <c r="Y53" s="6">
        <v>5545</v>
      </c>
      <c r="Z53" s="6">
        <v>5189</v>
      </c>
      <c r="AA53" s="6">
        <v>3058</v>
      </c>
      <c r="AB53" s="6">
        <v>3287</v>
      </c>
      <c r="AC53" s="6">
        <v>3362</v>
      </c>
      <c r="AD53" s="6">
        <v>3442</v>
      </c>
      <c r="AE53" s="6">
        <v>3584</v>
      </c>
      <c r="AF53" s="6">
        <v>3317</v>
      </c>
      <c r="AG53" s="6">
        <v>3329</v>
      </c>
      <c r="AH53" s="6">
        <v>3049</v>
      </c>
      <c r="AI53" s="6">
        <v>3301</v>
      </c>
      <c r="AJ53" s="6">
        <v>3437</v>
      </c>
      <c r="AK53" s="6">
        <v>3620</v>
      </c>
      <c r="AL53" s="6">
        <v>3412</v>
      </c>
      <c r="AM53" s="6">
        <v>12564</v>
      </c>
      <c r="AN53" s="6">
        <v>8288</v>
      </c>
      <c r="AO53" s="6">
        <v>5823</v>
      </c>
      <c r="AP53" s="6">
        <v>3364</v>
      </c>
    </row>
    <row r="54" spans="2:43" x14ac:dyDescent="0.2">
      <c r="B54" s="31" t="s">
        <v>539</v>
      </c>
      <c r="C54" s="6">
        <v>60127766</v>
      </c>
      <c r="D54" s="6">
        <v>55240925</v>
      </c>
      <c r="E54" s="6">
        <v>39187214</v>
      </c>
      <c r="F54" s="6">
        <v>22566034</v>
      </c>
      <c r="G54" s="6">
        <v>73767306</v>
      </c>
      <c r="H54" s="6">
        <v>58815528</v>
      </c>
      <c r="I54" s="6">
        <v>76592610</v>
      </c>
      <c r="J54" s="6">
        <v>74650516</v>
      </c>
      <c r="K54" s="6">
        <v>58047576</v>
      </c>
      <c r="L54" s="6">
        <v>66789404</v>
      </c>
      <c r="M54" s="6">
        <v>58317828</v>
      </c>
      <c r="N54" s="6">
        <v>73700235</v>
      </c>
      <c r="O54" s="6">
        <v>62820847</v>
      </c>
      <c r="P54" s="6">
        <v>61160983</v>
      </c>
      <c r="Q54" s="6">
        <v>57206611</v>
      </c>
      <c r="R54" s="6">
        <v>37387623</v>
      </c>
      <c r="S54" s="6">
        <v>33182644</v>
      </c>
      <c r="T54" s="6">
        <v>49110792</v>
      </c>
      <c r="U54" s="6">
        <v>60394719</v>
      </c>
      <c r="V54" s="6">
        <v>61212752</v>
      </c>
      <c r="W54" s="6">
        <v>52056</v>
      </c>
      <c r="X54" s="6">
        <v>51116</v>
      </c>
      <c r="Y54" s="6">
        <v>52998</v>
      </c>
      <c r="Z54" s="6">
        <v>50338</v>
      </c>
      <c r="AA54" s="6">
        <v>47136</v>
      </c>
      <c r="AB54" s="6">
        <v>52026</v>
      </c>
      <c r="AC54" s="6">
        <v>48672</v>
      </c>
      <c r="AD54" s="6">
        <v>49713</v>
      </c>
      <c r="AE54" s="6">
        <v>72140</v>
      </c>
      <c r="AF54" s="6">
        <v>84510</v>
      </c>
      <c r="AG54" s="6">
        <v>68158</v>
      </c>
      <c r="AH54" s="6">
        <v>83308</v>
      </c>
      <c r="AI54" s="6">
        <v>83831</v>
      </c>
      <c r="AJ54" s="6">
        <v>87800</v>
      </c>
      <c r="AK54" s="6">
        <v>86748</v>
      </c>
      <c r="AL54" s="6">
        <v>66760</v>
      </c>
      <c r="AM54" s="6">
        <v>73487</v>
      </c>
      <c r="AN54" s="6">
        <v>79584</v>
      </c>
      <c r="AO54" s="6">
        <v>89350</v>
      </c>
      <c r="AP54" s="6">
        <v>95147</v>
      </c>
    </row>
    <row r="55" spans="2:43" x14ac:dyDescent="0.2">
      <c r="B55" s="31" t="s">
        <v>546</v>
      </c>
      <c r="C55" s="6">
        <v>23760101</v>
      </c>
      <c r="D55" s="6">
        <v>22635645</v>
      </c>
      <c r="E55" s="6">
        <v>23677205</v>
      </c>
      <c r="F55" s="6">
        <v>26413057</v>
      </c>
      <c r="G55" s="6">
        <v>17614642</v>
      </c>
      <c r="H55" s="6">
        <v>18341466</v>
      </c>
      <c r="I55" s="6">
        <v>21881475</v>
      </c>
      <c r="J55" s="6">
        <v>25439477</v>
      </c>
      <c r="K55" s="6">
        <v>15001808</v>
      </c>
      <c r="L55" s="6">
        <v>14513445</v>
      </c>
      <c r="M55" s="6">
        <v>14180701</v>
      </c>
      <c r="N55" s="6">
        <v>15924118</v>
      </c>
      <c r="O55" s="6">
        <v>14480478</v>
      </c>
      <c r="P55" s="6">
        <v>15029051</v>
      </c>
      <c r="Q55" s="6">
        <v>14003629</v>
      </c>
      <c r="R55" s="6">
        <v>14912513</v>
      </c>
      <c r="S55" s="6">
        <v>10502676</v>
      </c>
      <c r="T55" s="6">
        <v>13757121</v>
      </c>
      <c r="U55" s="6">
        <v>12903575</v>
      </c>
      <c r="V55" s="6">
        <v>11651696</v>
      </c>
      <c r="W55" s="6">
        <v>1448400</v>
      </c>
      <c r="X55" s="6">
        <v>1418535</v>
      </c>
      <c r="Y55" s="6">
        <v>1563435</v>
      </c>
      <c r="Z55" s="6">
        <v>1603598</v>
      </c>
      <c r="AA55" s="6">
        <v>1439251</v>
      </c>
      <c r="AB55" s="6">
        <v>1446010</v>
      </c>
      <c r="AC55" s="6">
        <v>1498577</v>
      </c>
      <c r="AD55" s="6">
        <v>1349349</v>
      </c>
      <c r="AE55" s="6">
        <v>1756260</v>
      </c>
      <c r="AF55" s="6">
        <v>1809162</v>
      </c>
      <c r="AG55" s="6">
        <v>1803785</v>
      </c>
      <c r="AH55" s="6">
        <v>1756847</v>
      </c>
      <c r="AI55" s="6">
        <v>1652573</v>
      </c>
      <c r="AJ55" s="6">
        <v>1724307</v>
      </c>
      <c r="AK55" s="6">
        <v>856373</v>
      </c>
      <c r="AL55" s="6">
        <v>1727747</v>
      </c>
      <c r="AM55" s="6">
        <v>1363763</v>
      </c>
      <c r="AN55" s="6">
        <v>1437445</v>
      </c>
      <c r="AO55" s="6">
        <v>1502031</v>
      </c>
      <c r="AP55" s="6">
        <v>1586271</v>
      </c>
    </row>
    <row r="56" spans="2:43" x14ac:dyDescent="0.2">
      <c r="B56" s="31" t="s">
        <v>543</v>
      </c>
      <c r="C56" s="6">
        <v>684116522</v>
      </c>
      <c r="D56" s="6">
        <v>743396608</v>
      </c>
      <c r="E56" s="6">
        <v>761360129</v>
      </c>
      <c r="F56" s="6">
        <v>799557188</v>
      </c>
      <c r="G56" s="6">
        <v>643285166</v>
      </c>
      <c r="H56" s="6">
        <v>667517955</v>
      </c>
      <c r="I56" s="6">
        <v>669987546</v>
      </c>
      <c r="J56" s="6">
        <v>712037865</v>
      </c>
      <c r="K56" s="6">
        <v>564705166</v>
      </c>
      <c r="L56" s="6">
        <v>599973244</v>
      </c>
      <c r="M56" s="6">
        <v>614224772</v>
      </c>
      <c r="N56" s="6">
        <v>649322953</v>
      </c>
      <c r="O56" s="6">
        <v>525862839</v>
      </c>
      <c r="P56" s="6">
        <v>545123134</v>
      </c>
      <c r="Q56" s="6">
        <v>21191957</v>
      </c>
      <c r="R56" s="6">
        <v>586675437</v>
      </c>
      <c r="S56" s="6">
        <v>464336768</v>
      </c>
      <c r="T56" s="6">
        <v>479558969</v>
      </c>
      <c r="U56" s="6">
        <v>500299977</v>
      </c>
      <c r="V56" s="6">
        <v>523101817</v>
      </c>
      <c r="W56" s="6">
        <v>31315767</v>
      </c>
      <c r="X56" s="6">
        <v>31995319</v>
      </c>
      <c r="Y56" s="6">
        <v>31726289</v>
      </c>
      <c r="Z56" s="6">
        <v>31796093</v>
      </c>
      <c r="AA56" s="6">
        <v>34418502</v>
      </c>
      <c r="AB56" s="6">
        <v>34590416</v>
      </c>
      <c r="AC56" s="6">
        <v>34318405</v>
      </c>
      <c r="AD56" s="6">
        <v>33745345</v>
      </c>
      <c r="AE56" s="6">
        <v>23785355</v>
      </c>
      <c r="AF56" s="6">
        <v>26255797</v>
      </c>
      <c r="AG56" s="6">
        <v>29792552</v>
      </c>
      <c r="AH56" s="6">
        <v>32616760</v>
      </c>
      <c r="AI56" s="6">
        <v>18012230</v>
      </c>
      <c r="AJ56" s="6">
        <v>18268782</v>
      </c>
      <c r="AK56" s="6">
        <v>21191957</v>
      </c>
      <c r="AL56" s="6">
        <v>22281842</v>
      </c>
      <c r="AM56" s="6">
        <v>16468638</v>
      </c>
      <c r="AN56" s="6">
        <v>17279077</v>
      </c>
      <c r="AO56" s="6">
        <v>17103308</v>
      </c>
      <c r="AP56" s="6">
        <v>17706947</v>
      </c>
    </row>
    <row r="57" spans="2:43" x14ac:dyDescent="0.2">
      <c r="B57" s="31" t="s">
        <v>545</v>
      </c>
      <c r="C57" s="6">
        <v>16007221</v>
      </c>
      <c r="D57" s="6">
        <v>15885798</v>
      </c>
      <c r="E57" s="6">
        <v>16655480</v>
      </c>
      <c r="F57" s="6">
        <v>17198156</v>
      </c>
      <c r="G57" s="6">
        <v>11819927</v>
      </c>
      <c r="H57" s="6">
        <v>13109529</v>
      </c>
      <c r="I57" s="6">
        <v>14379427</v>
      </c>
      <c r="J57" s="6">
        <v>15145219</v>
      </c>
      <c r="K57" s="6">
        <v>9375682</v>
      </c>
      <c r="L57" s="6">
        <v>10278306</v>
      </c>
      <c r="M57" s="6">
        <v>10174037</v>
      </c>
      <c r="N57" s="6">
        <v>11855216</v>
      </c>
      <c r="O57" s="6">
        <v>6215496</v>
      </c>
      <c r="P57" s="6">
        <v>6888862</v>
      </c>
      <c r="Q57" s="6">
        <v>7297068</v>
      </c>
      <c r="R57" s="6">
        <v>8178063</v>
      </c>
      <c r="S57" s="6">
        <v>5413529</v>
      </c>
      <c r="T57" s="6">
        <v>5564703</v>
      </c>
      <c r="U57" s="6">
        <v>5399230</v>
      </c>
      <c r="V57" s="6">
        <v>6087987</v>
      </c>
      <c r="W57" s="6">
        <v>399428</v>
      </c>
      <c r="X57" s="6">
        <v>403160</v>
      </c>
      <c r="Y57" s="6">
        <v>380241</v>
      </c>
      <c r="Z57" s="6">
        <v>371291</v>
      </c>
      <c r="AA57" s="6">
        <v>329649</v>
      </c>
      <c r="AB57" s="6">
        <v>362646</v>
      </c>
      <c r="AC57" s="6">
        <v>367282</v>
      </c>
      <c r="AD57" s="6">
        <v>362887</v>
      </c>
      <c r="AE57" s="6">
        <v>305784</v>
      </c>
      <c r="AF57" s="6">
        <v>306967</v>
      </c>
      <c r="AG57" s="6">
        <v>295079</v>
      </c>
      <c r="AH57" s="6">
        <v>323378</v>
      </c>
      <c r="AI57" s="6">
        <v>206171</v>
      </c>
      <c r="AJ57" s="6">
        <v>226328</v>
      </c>
      <c r="AK57" s="6">
        <v>251070</v>
      </c>
      <c r="AL57" s="6">
        <v>270614</v>
      </c>
      <c r="AM57" s="6">
        <v>153256</v>
      </c>
      <c r="AN57" s="6">
        <v>167061</v>
      </c>
      <c r="AO57" s="6">
        <v>180470</v>
      </c>
      <c r="AP57" s="6">
        <v>194852</v>
      </c>
    </row>
    <row r="58" spans="2:43" x14ac:dyDescent="0.2">
      <c r="B58" s="31" t="s">
        <v>541</v>
      </c>
      <c r="C58" s="6">
        <v>11145650</v>
      </c>
      <c r="D58" s="6">
        <v>12783761</v>
      </c>
      <c r="E58" s="6">
        <v>14297446</v>
      </c>
      <c r="F58" s="6">
        <v>13888862</v>
      </c>
      <c r="G58" s="6">
        <v>12761433</v>
      </c>
      <c r="H58" s="6">
        <v>14282854</v>
      </c>
      <c r="I58" s="6">
        <v>11679178</v>
      </c>
      <c r="J58" s="6">
        <v>12544494</v>
      </c>
      <c r="K58" s="6">
        <v>11539905</v>
      </c>
      <c r="L58" s="6">
        <v>13204195</v>
      </c>
      <c r="M58" s="6">
        <v>12455871</v>
      </c>
      <c r="N58" s="6">
        <v>14789244</v>
      </c>
      <c r="O58" s="6">
        <v>19670114</v>
      </c>
      <c r="P58" s="6">
        <v>28937986</v>
      </c>
      <c r="Q58" s="6">
        <v>26746538</v>
      </c>
      <c r="R58" s="6">
        <v>11331273</v>
      </c>
      <c r="S58" s="6">
        <v>10584664</v>
      </c>
      <c r="T58" s="6">
        <v>10274341</v>
      </c>
      <c r="U58" s="6">
        <v>10370580</v>
      </c>
      <c r="V58" s="6">
        <v>13114059</v>
      </c>
      <c r="W58" s="6">
        <v>158430</v>
      </c>
      <c r="X58" s="6">
        <v>184551</v>
      </c>
      <c r="Y58" s="6">
        <v>249771</v>
      </c>
      <c r="Z58" s="6">
        <v>296453</v>
      </c>
      <c r="AA58" s="6">
        <v>154505</v>
      </c>
      <c r="AB58" s="6">
        <v>231517</v>
      </c>
      <c r="AC58" s="6">
        <v>185704</v>
      </c>
      <c r="AD58" s="6">
        <v>254234</v>
      </c>
      <c r="AE58" s="6">
        <v>233305</v>
      </c>
      <c r="AF58" s="6">
        <v>176953</v>
      </c>
      <c r="AG58" s="6">
        <v>152701</v>
      </c>
      <c r="AH58" s="6">
        <v>241041</v>
      </c>
      <c r="AI58" s="6">
        <v>259791</v>
      </c>
      <c r="AJ58" s="6">
        <v>298987</v>
      </c>
      <c r="AK58" s="6">
        <v>273605</v>
      </c>
      <c r="AL58" s="6">
        <v>107030</v>
      </c>
      <c r="AM58" s="6">
        <v>249461</v>
      </c>
      <c r="AN58" s="6">
        <v>187088</v>
      </c>
      <c r="AO58" s="6">
        <v>149433</v>
      </c>
      <c r="AP58" s="6">
        <v>106927</v>
      </c>
    </row>
    <row r="59" spans="2:43" s="1" customFormat="1" x14ac:dyDescent="0.2">
      <c r="B59" s="31" t="s">
        <v>531</v>
      </c>
      <c r="C59" s="30">
        <f t="shared" ref="C59:F59" si="12">SUM(C53:C58)</f>
        <v>813410889</v>
      </c>
      <c r="D59" s="30">
        <f t="shared" si="12"/>
        <v>870114318</v>
      </c>
      <c r="E59" s="30">
        <f t="shared" si="12"/>
        <v>867834706</v>
      </c>
      <c r="F59" s="30">
        <f t="shared" si="12"/>
        <v>894459258</v>
      </c>
      <c r="G59" s="30">
        <f>SUM(G53:G58)</f>
        <v>768412758</v>
      </c>
      <c r="H59" s="30">
        <f t="shared" ref="H59:J59" si="13">SUM(H53:H58)</f>
        <v>794214294</v>
      </c>
      <c r="I59" s="30">
        <f t="shared" si="13"/>
        <v>804722318</v>
      </c>
      <c r="J59" s="30">
        <f t="shared" si="13"/>
        <v>852150960</v>
      </c>
      <c r="K59" s="30">
        <f>SUM(K53:K58)</f>
        <v>669573093</v>
      </c>
      <c r="L59" s="30">
        <f t="shared" ref="L59:AL59" si="14">SUM(L53:L58)</f>
        <v>717193604</v>
      </c>
      <c r="M59" s="30">
        <f t="shared" si="14"/>
        <v>719021760</v>
      </c>
      <c r="N59" s="30">
        <f t="shared" si="14"/>
        <v>775954980</v>
      </c>
      <c r="O59" s="30">
        <f t="shared" si="14"/>
        <v>637628861</v>
      </c>
      <c r="P59" s="30">
        <f t="shared" si="14"/>
        <v>669352092</v>
      </c>
      <c r="Q59" s="30">
        <f t="shared" si="14"/>
        <v>143460279</v>
      </c>
      <c r="R59" s="30">
        <f t="shared" si="14"/>
        <v>668640535</v>
      </c>
      <c r="S59" s="30">
        <f t="shared" si="14"/>
        <v>539766210</v>
      </c>
      <c r="T59" s="30">
        <f t="shared" si="14"/>
        <v>570675008</v>
      </c>
      <c r="U59" s="30">
        <f t="shared" si="14"/>
        <v>598795827</v>
      </c>
      <c r="V59" s="30">
        <f t="shared" si="14"/>
        <v>624155142</v>
      </c>
      <c r="W59" s="30">
        <f t="shared" si="14"/>
        <v>33377737</v>
      </c>
      <c r="X59" s="30">
        <f t="shared" si="14"/>
        <v>34063817</v>
      </c>
      <c r="Y59" s="30">
        <f t="shared" si="14"/>
        <v>33978279</v>
      </c>
      <c r="Z59" s="30">
        <f t="shared" si="14"/>
        <v>34122962</v>
      </c>
      <c r="AA59" s="30">
        <f t="shared" si="14"/>
        <v>36392101</v>
      </c>
      <c r="AB59" s="30">
        <f t="shared" si="14"/>
        <v>36685902</v>
      </c>
      <c r="AC59" s="30">
        <f t="shared" si="14"/>
        <v>36422002</v>
      </c>
      <c r="AD59" s="30">
        <f t="shared" si="14"/>
        <v>35764970</v>
      </c>
      <c r="AE59" s="30">
        <f t="shared" si="14"/>
        <v>26156428</v>
      </c>
      <c r="AF59" s="30">
        <f t="shared" si="14"/>
        <v>28636706</v>
      </c>
      <c r="AG59" s="30">
        <f t="shared" si="14"/>
        <v>32115604</v>
      </c>
      <c r="AH59" s="30">
        <f t="shared" si="14"/>
        <v>35024383</v>
      </c>
      <c r="AI59" s="30">
        <f t="shared" si="14"/>
        <v>20217897</v>
      </c>
      <c r="AJ59" s="30">
        <f t="shared" si="14"/>
        <v>20609641</v>
      </c>
      <c r="AK59" s="30">
        <f t="shared" si="14"/>
        <v>22663373</v>
      </c>
      <c r="AL59" s="30">
        <f t="shared" si="14"/>
        <v>24457405</v>
      </c>
      <c r="AM59" s="30">
        <f t="shared" ref="AM59:AP59" si="15">SUM(AM53:AM58)</f>
        <v>18321169</v>
      </c>
      <c r="AN59" s="30">
        <f t="shared" si="15"/>
        <v>19158543</v>
      </c>
      <c r="AO59" s="30">
        <f t="shared" si="15"/>
        <v>19030415</v>
      </c>
      <c r="AP59" s="30">
        <f t="shared" si="15"/>
        <v>19693508</v>
      </c>
    </row>
    <row r="60" spans="2:43" x14ac:dyDescent="0.2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2:43" x14ac:dyDescent="0.2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2:43" x14ac:dyDescent="0.2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2:43" x14ac:dyDescent="0.2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2:43" x14ac:dyDescent="0.2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spans="3:43" x14ac:dyDescent="0.2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spans="3:43" x14ac:dyDescent="0.2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spans="3:43" x14ac:dyDescent="0.2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spans="3:43" x14ac:dyDescent="0.2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3:43" x14ac:dyDescent="0.2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3:43" x14ac:dyDescent="0.2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spans="3:43" x14ac:dyDescent="0.2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3:43" x14ac:dyDescent="0.2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</sheetData>
  <mergeCells count="50">
    <mergeCell ref="AI22:AL22"/>
    <mergeCell ref="C10:F10"/>
    <mergeCell ref="G10:J10"/>
    <mergeCell ref="K10:N10"/>
    <mergeCell ref="O10:R10"/>
    <mergeCell ref="W10:Z10"/>
    <mergeCell ref="AA10:AD10"/>
    <mergeCell ref="C22:F22"/>
    <mergeCell ref="G22:J22"/>
    <mergeCell ref="K22:N22"/>
    <mergeCell ref="O22:R22"/>
    <mergeCell ref="W22:Z22"/>
    <mergeCell ref="C33:F33"/>
    <mergeCell ref="G33:J33"/>
    <mergeCell ref="K33:N33"/>
    <mergeCell ref="O33:R33"/>
    <mergeCell ref="W33:Z33"/>
    <mergeCell ref="C44:F44"/>
    <mergeCell ref="G44:J44"/>
    <mergeCell ref="K44:N44"/>
    <mergeCell ref="O44:R44"/>
    <mergeCell ref="W44:Z44"/>
    <mergeCell ref="S44:V44"/>
    <mergeCell ref="C51:F51"/>
    <mergeCell ref="G51:J51"/>
    <mergeCell ref="K51:N51"/>
    <mergeCell ref="O51:R51"/>
    <mergeCell ref="W51:Z51"/>
    <mergeCell ref="S51:V51"/>
    <mergeCell ref="AM10:AP10"/>
    <mergeCell ref="AM22:AP22"/>
    <mergeCell ref="AM33:AP33"/>
    <mergeCell ref="AM44:AP44"/>
    <mergeCell ref="AM51:AP51"/>
    <mergeCell ref="AE51:AH51"/>
    <mergeCell ref="AI51:AL51"/>
    <mergeCell ref="S10:V10"/>
    <mergeCell ref="S22:V22"/>
    <mergeCell ref="S33:V33"/>
    <mergeCell ref="AA51:AD51"/>
    <mergeCell ref="AE33:AH33"/>
    <mergeCell ref="AI33:AL33"/>
    <mergeCell ref="AA44:AD44"/>
    <mergeCell ref="AE44:AH44"/>
    <mergeCell ref="AI44:AL44"/>
    <mergeCell ref="AA33:AD33"/>
    <mergeCell ref="AE10:AH10"/>
    <mergeCell ref="AI10:AL10"/>
    <mergeCell ref="AA22:AD22"/>
    <mergeCell ref="AE22:AH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AF83-2385-D947-8468-FEB948A8755F}">
  <dimension ref="B2:X67"/>
  <sheetViews>
    <sheetView workbookViewId="0">
      <selection activeCell="B3" sqref="B3:B4"/>
    </sheetView>
  </sheetViews>
  <sheetFormatPr baseColWidth="10" defaultRowHeight="16" x14ac:dyDescent="0.2"/>
  <cols>
    <col min="2" max="2" width="33" bestFit="1" customWidth="1"/>
    <col min="3" max="10" width="10.33203125" customWidth="1"/>
    <col min="11" max="11" width="10.33203125" style="2" customWidth="1"/>
    <col min="12" max="13" width="10.33203125" customWidth="1"/>
    <col min="14" max="14" width="10.33203125" hidden="1" customWidth="1"/>
    <col min="15" max="16" width="0" hidden="1" customWidth="1"/>
    <col min="17" max="17" width="10.5" hidden="1" customWidth="1"/>
    <col min="18" max="21" width="12.1640625" hidden="1" customWidth="1"/>
  </cols>
  <sheetData>
    <row r="2" spans="2:24" x14ac:dyDescent="0.2">
      <c r="B2" t="s">
        <v>528</v>
      </c>
    </row>
    <row r="3" spans="2:24" x14ac:dyDescent="0.2">
      <c r="B3" s="55" t="s">
        <v>629</v>
      </c>
      <c r="C3" s="72" t="s">
        <v>691</v>
      </c>
      <c r="D3" s="72"/>
      <c r="E3" s="72"/>
      <c r="F3" s="72"/>
      <c r="G3" s="72"/>
      <c r="H3" s="72"/>
      <c r="I3" s="72"/>
      <c r="J3" s="72"/>
      <c r="K3" s="72"/>
      <c r="L3" s="72"/>
    </row>
    <row r="4" spans="2:24" x14ac:dyDescent="0.2">
      <c r="B4" s="55"/>
      <c r="C4" s="45">
        <v>2014</v>
      </c>
      <c r="D4" s="45">
        <v>2015</v>
      </c>
      <c r="E4" s="45">
        <v>2016</v>
      </c>
      <c r="F4" s="45">
        <v>2017</v>
      </c>
      <c r="G4" s="45">
        <v>2018</v>
      </c>
      <c r="H4" s="45">
        <v>2019</v>
      </c>
      <c r="I4" s="45">
        <v>2020</v>
      </c>
      <c r="J4" s="45">
        <v>2021</v>
      </c>
      <c r="K4" s="45">
        <v>2022</v>
      </c>
      <c r="L4" s="45">
        <v>2023</v>
      </c>
      <c r="N4">
        <v>0.66</v>
      </c>
      <c r="O4">
        <v>14349.005000000001</v>
      </c>
      <c r="W4" s="2"/>
      <c r="X4" s="2"/>
    </row>
    <row r="5" spans="2:24" x14ac:dyDescent="0.2">
      <c r="B5" s="13" t="s">
        <v>93</v>
      </c>
      <c r="C5" s="50">
        <v>0.08</v>
      </c>
      <c r="D5" s="50">
        <v>0.17</v>
      </c>
      <c r="E5" s="50">
        <v>0.19</v>
      </c>
      <c r="F5" s="50">
        <v>0.02</v>
      </c>
      <c r="G5" s="50">
        <v>0.2</v>
      </c>
      <c r="H5" s="50">
        <v>0.11</v>
      </c>
      <c r="I5" s="50">
        <v>0.1</v>
      </c>
      <c r="J5" s="50">
        <v>0.08</v>
      </c>
      <c r="K5" s="50">
        <v>0.66</v>
      </c>
      <c r="L5" s="50">
        <v>0.66</v>
      </c>
      <c r="N5">
        <v>0.61</v>
      </c>
      <c r="O5">
        <v>14848</v>
      </c>
      <c r="Q5" s="1"/>
      <c r="W5" s="41"/>
      <c r="X5" s="41"/>
    </row>
    <row r="6" spans="2:24" s="1" customFormat="1" x14ac:dyDescent="0.2">
      <c r="B6" s="13" t="s">
        <v>96</v>
      </c>
      <c r="C6" s="50">
        <v>0.43</v>
      </c>
      <c r="D6" s="50">
        <v>0.54</v>
      </c>
      <c r="E6" s="50">
        <v>0.66</v>
      </c>
      <c r="F6" s="50">
        <v>0.69</v>
      </c>
      <c r="G6" s="50">
        <v>0.59</v>
      </c>
      <c r="H6" s="50">
        <v>0.55000000000000004</v>
      </c>
      <c r="I6" s="50">
        <v>0.18</v>
      </c>
      <c r="J6" s="50">
        <v>0.16</v>
      </c>
      <c r="K6" s="50">
        <v>0.61</v>
      </c>
      <c r="L6" s="50">
        <v>0.61</v>
      </c>
      <c r="N6" s="1">
        <v>1.17</v>
      </c>
      <c r="O6" s="1">
        <v>15247</v>
      </c>
      <c r="W6" s="41"/>
      <c r="X6" s="41"/>
    </row>
    <row r="7" spans="2:24" s="1" customFormat="1" x14ac:dyDescent="0.2">
      <c r="B7" s="13" t="s">
        <v>99</v>
      </c>
      <c r="C7" s="50">
        <v>0.27</v>
      </c>
      <c r="D7" s="50">
        <v>0.08</v>
      </c>
      <c r="E7" s="50">
        <v>0.22</v>
      </c>
      <c r="F7" s="50">
        <v>0.13</v>
      </c>
      <c r="G7" s="50">
        <v>0.18</v>
      </c>
      <c r="H7" s="50">
        <v>0.27</v>
      </c>
      <c r="I7" s="50">
        <v>0.05</v>
      </c>
      <c r="J7" s="50">
        <v>0.04</v>
      </c>
      <c r="K7" s="50">
        <v>1.17</v>
      </c>
      <c r="L7" s="50">
        <v>1.17</v>
      </c>
      <c r="N7" s="1">
        <v>0.66</v>
      </c>
      <c r="O7" s="1">
        <v>15731</v>
      </c>
      <c r="W7" s="41"/>
      <c r="X7" s="41"/>
    </row>
    <row r="8" spans="2:24" s="1" customFormat="1" x14ac:dyDescent="0.2">
      <c r="B8" s="13" t="s">
        <v>102</v>
      </c>
      <c r="C8" s="50">
        <v>2.46</v>
      </c>
      <c r="D8" s="50">
        <v>0.96</v>
      </c>
      <c r="E8" s="50">
        <v>0.42</v>
      </c>
      <c r="F8" s="50">
        <v>0.71</v>
      </c>
      <c r="G8" s="50">
        <v>0.62</v>
      </c>
      <c r="H8" s="50">
        <v>0.34</v>
      </c>
      <c r="I8" s="50">
        <v>0.45</v>
      </c>
      <c r="J8" s="50">
        <v>0.56999999999999995</v>
      </c>
      <c r="K8" s="50">
        <v>0.66</v>
      </c>
      <c r="L8" s="50">
        <v>0.41</v>
      </c>
      <c r="N8" s="1">
        <v>0.66</v>
      </c>
      <c r="O8" s="1">
        <v>15062</v>
      </c>
      <c r="W8" s="41"/>
      <c r="X8" s="41"/>
    </row>
    <row r="9" spans="2:24" x14ac:dyDescent="0.2">
      <c r="C9" s="42"/>
      <c r="D9" s="42"/>
      <c r="E9" s="42"/>
      <c r="F9" s="42"/>
      <c r="G9" s="42"/>
      <c r="H9" s="42"/>
      <c r="I9" s="42"/>
      <c r="J9" s="42"/>
      <c r="N9">
        <v>0.61</v>
      </c>
      <c r="O9">
        <v>15026</v>
      </c>
      <c r="W9" s="3"/>
      <c r="X9" s="3"/>
    </row>
    <row r="10" spans="2:24" x14ac:dyDescent="0.2">
      <c r="N10">
        <v>1.17</v>
      </c>
      <c r="O10">
        <v>15526</v>
      </c>
    </row>
    <row r="11" spans="2:24" x14ac:dyDescent="0.2">
      <c r="B11" t="s">
        <v>529</v>
      </c>
      <c r="N11">
        <v>0.41</v>
      </c>
      <c r="O11">
        <v>15416</v>
      </c>
    </row>
    <row r="12" spans="2:24" x14ac:dyDescent="0.2">
      <c r="B12" s="14" t="s">
        <v>183</v>
      </c>
      <c r="C12" s="13">
        <v>2014</v>
      </c>
      <c r="D12" s="13">
        <v>2015</v>
      </c>
      <c r="E12" s="13">
        <v>2016</v>
      </c>
      <c r="F12" s="13">
        <v>2017</v>
      </c>
      <c r="G12" s="13">
        <v>2018</v>
      </c>
      <c r="H12" s="13">
        <v>2019</v>
      </c>
      <c r="I12" s="13">
        <v>2020</v>
      </c>
      <c r="J12" s="13">
        <v>2021</v>
      </c>
      <c r="K12" s="13">
        <v>2022</v>
      </c>
      <c r="L12" s="13">
        <v>2023</v>
      </c>
    </row>
    <row r="13" spans="2:24" x14ac:dyDescent="0.2">
      <c r="B13" s="14" t="s">
        <v>93</v>
      </c>
      <c r="C13" s="43">
        <v>11404</v>
      </c>
      <c r="D13" s="43">
        <v>13084</v>
      </c>
      <c r="E13" s="44">
        <v>13276</v>
      </c>
      <c r="F13" s="44">
        <v>13321</v>
      </c>
      <c r="G13" s="43">
        <v>13756</v>
      </c>
      <c r="H13" s="43">
        <v>14244</v>
      </c>
      <c r="I13" s="44">
        <v>15194.573809523812</v>
      </c>
      <c r="J13" s="44">
        <v>14417.393478260872</v>
      </c>
      <c r="K13" s="44">
        <v>14349.005000000001</v>
      </c>
      <c r="L13" s="44">
        <v>15062</v>
      </c>
    </row>
    <row r="14" spans="2:24" x14ac:dyDescent="0.2">
      <c r="B14" s="14" t="s">
        <v>96</v>
      </c>
      <c r="C14" s="43">
        <v>11969</v>
      </c>
      <c r="D14" s="43">
        <v>13332</v>
      </c>
      <c r="E14" s="44">
        <v>13180</v>
      </c>
      <c r="F14" s="44">
        <v>13319</v>
      </c>
      <c r="G14" s="43">
        <v>14404</v>
      </c>
      <c r="H14" s="43">
        <v>14141</v>
      </c>
      <c r="I14" s="44">
        <v>14195.955000000002</v>
      </c>
      <c r="J14" s="44">
        <v>14338.228863636365</v>
      </c>
      <c r="K14" s="44">
        <v>14848</v>
      </c>
      <c r="L14" s="44">
        <v>15026</v>
      </c>
      <c r="N14" s="27">
        <v>3.5000000000000004</v>
      </c>
    </row>
    <row r="15" spans="2:24" x14ac:dyDescent="0.2">
      <c r="B15" s="14" t="s">
        <v>99</v>
      </c>
      <c r="C15" s="43">
        <v>12212</v>
      </c>
      <c r="D15" s="43">
        <v>14657</v>
      </c>
      <c r="E15" s="44">
        <v>12998</v>
      </c>
      <c r="F15" s="44">
        <v>13492</v>
      </c>
      <c r="G15" s="43">
        <v>14929</v>
      </c>
      <c r="H15" s="43">
        <v>14174</v>
      </c>
      <c r="I15" s="44">
        <v>14847.956590909092</v>
      </c>
      <c r="J15" s="44">
        <v>14256.957045454548</v>
      </c>
      <c r="K15" s="44">
        <v>15247</v>
      </c>
      <c r="L15" s="44">
        <v>15526</v>
      </c>
      <c r="N15" s="27">
        <v>3.5000000000000004</v>
      </c>
    </row>
    <row r="16" spans="2:24" x14ac:dyDescent="0.2">
      <c r="B16" s="14" t="s">
        <v>102</v>
      </c>
      <c r="C16" s="43">
        <v>12440</v>
      </c>
      <c r="D16" s="43">
        <v>13795</v>
      </c>
      <c r="E16" s="44">
        <v>13436</v>
      </c>
      <c r="F16" s="44">
        <v>13548</v>
      </c>
      <c r="G16" s="43">
        <v>14481</v>
      </c>
      <c r="H16" s="43">
        <v>13901.005000000001</v>
      </c>
      <c r="I16" s="44">
        <v>14173.088478260872</v>
      </c>
      <c r="J16" s="44">
        <v>14328.915869565217</v>
      </c>
      <c r="K16" s="44">
        <v>15731</v>
      </c>
      <c r="L16" s="44">
        <v>15416</v>
      </c>
      <c r="N16">
        <v>4.25</v>
      </c>
    </row>
    <row r="17" spans="2:21" x14ac:dyDescent="0.2">
      <c r="C17" s="1"/>
      <c r="D17" s="1"/>
      <c r="E17" s="30"/>
      <c r="F17" s="30"/>
      <c r="G17" s="1"/>
      <c r="H17" s="1"/>
      <c r="I17" s="30"/>
      <c r="J17" s="30"/>
      <c r="N17" s="27">
        <v>5.5</v>
      </c>
      <c r="O17" s="27"/>
      <c r="P17" s="27"/>
      <c r="Q17" s="27"/>
    </row>
    <row r="18" spans="2:21" x14ac:dyDescent="0.2">
      <c r="N18" s="27">
        <v>5.75</v>
      </c>
      <c r="O18" s="27"/>
      <c r="P18" s="27"/>
      <c r="Q18" s="27"/>
    </row>
    <row r="19" spans="2:21" x14ac:dyDescent="0.2">
      <c r="B19" t="s">
        <v>530</v>
      </c>
      <c r="N19">
        <v>5.75</v>
      </c>
    </row>
    <row r="20" spans="2:21" x14ac:dyDescent="0.2">
      <c r="B20" s="14" t="s">
        <v>184</v>
      </c>
      <c r="C20" s="13">
        <v>2014</v>
      </c>
      <c r="D20" s="13">
        <v>2015</v>
      </c>
      <c r="E20" s="13">
        <v>2016</v>
      </c>
      <c r="F20" s="13">
        <v>2017</v>
      </c>
      <c r="G20" s="13">
        <v>2018</v>
      </c>
      <c r="H20" s="13">
        <v>2019</v>
      </c>
      <c r="I20" s="13">
        <v>2020</v>
      </c>
      <c r="J20" s="13">
        <v>2021</v>
      </c>
      <c r="K20" s="13">
        <v>2022</v>
      </c>
      <c r="L20" s="13">
        <v>2023</v>
      </c>
      <c r="N20" s="27">
        <v>5.75</v>
      </c>
      <c r="O20" s="27"/>
    </row>
    <row r="21" spans="2:21" x14ac:dyDescent="0.2">
      <c r="B21" s="14" t="s">
        <v>93</v>
      </c>
      <c r="C21" s="40">
        <v>7.5</v>
      </c>
      <c r="D21" s="40">
        <v>7.5</v>
      </c>
      <c r="E21" s="40">
        <v>6.75</v>
      </c>
      <c r="F21" s="40">
        <v>4.75</v>
      </c>
      <c r="G21" s="40">
        <v>4.25</v>
      </c>
      <c r="H21" s="40">
        <v>6</v>
      </c>
      <c r="I21" s="40">
        <v>4.5</v>
      </c>
      <c r="J21" s="40">
        <v>3.5000000000000004</v>
      </c>
      <c r="K21" s="40">
        <v>3.5000000000000004</v>
      </c>
      <c r="L21" s="40">
        <v>5.75</v>
      </c>
      <c r="N21" s="27">
        <v>6</v>
      </c>
      <c r="O21" s="27"/>
    </row>
    <row r="22" spans="2:21" x14ac:dyDescent="0.2">
      <c r="B22" s="14" t="s">
        <v>96</v>
      </c>
      <c r="C22" s="40">
        <v>7.5</v>
      </c>
      <c r="D22" s="40">
        <v>7.5</v>
      </c>
      <c r="E22" s="40">
        <v>6.5</v>
      </c>
      <c r="F22" s="40">
        <v>4.75</v>
      </c>
      <c r="G22" s="40">
        <v>5.25</v>
      </c>
      <c r="H22" s="40">
        <v>6</v>
      </c>
      <c r="I22" s="40">
        <v>4.25</v>
      </c>
      <c r="J22" s="40">
        <v>3.5000000000000004</v>
      </c>
      <c r="K22" s="40">
        <v>3.5000000000000004</v>
      </c>
      <c r="L22" s="40">
        <v>5.75</v>
      </c>
    </row>
    <row r="23" spans="2:21" x14ac:dyDescent="0.2">
      <c r="B23" s="14" t="s">
        <v>99</v>
      </c>
      <c r="C23" s="40">
        <v>7.5</v>
      </c>
      <c r="D23" s="40">
        <v>7.5</v>
      </c>
      <c r="E23" s="40">
        <v>5</v>
      </c>
      <c r="F23" s="40">
        <v>4.25</v>
      </c>
      <c r="G23" s="40">
        <v>5.75</v>
      </c>
      <c r="H23" s="40">
        <v>5.25</v>
      </c>
      <c r="I23" s="40">
        <v>4</v>
      </c>
      <c r="J23" s="40">
        <v>3.5000000000000004</v>
      </c>
      <c r="K23" s="40">
        <v>4.25</v>
      </c>
      <c r="L23" s="40">
        <v>5.75</v>
      </c>
      <c r="O23" s="27"/>
    </row>
    <row r="24" spans="2:21" x14ac:dyDescent="0.2">
      <c r="B24" s="14" t="s">
        <v>102</v>
      </c>
      <c r="C24" s="40">
        <v>7.75</v>
      </c>
      <c r="D24" s="40">
        <v>7.5</v>
      </c>
      <c r="E24" s="40">
        <v>4.75</v>
      </c>
      <c r="F24" s="40">
        <v>4.25</v>
      </c>
      <c r="G24" s="40">
        <v>6</v>
      </c>
      <c r="H24" s="40">
        <v>5</v>
      </c>
      <c r="I24" s="40">
        <v>3.75</v>
      </c>
      <c r="J24" s="40">
        <v>3.5000000000000004</v>
      </c>
      <c r="K24" s="40">
        <v>5.5</v>
      </c>
      <c r="L24" s="40">
        <v>6</v>
      </c>
    </row>
    <row r="25" spans="2:21" x14ac:dyDescent="0.2">
      <c r="C25" s="42"/>
      <c r="D25" s="42"/>
      <c r="E25" s="39"/>
      <c r="F25" s="39"/>
    </row>
    <row r="27" spans="2:21" x14ac:dyDescent="0.2">
      <c r="Q27" s="72" t="s">
        <v>696</v>
      </c>
      <c r="R27" s="72"/>
      <c r="S27" s="72"/>
      <c r="T27" s="72"/>
      <c r="U27" s="72"/>
    </row>
    <row r="28" spans="2:21" x14ac:dyDescent="0.2">
      <c r="Q28" s="55" t="s">
        <v>628</v>
      </c>
      <c r="R28" s="72" t="s">
        <v>629</v>
      </c>
      <c r="S28" s="72"/>
      <c r="T28" s="72"/>
      <c r="U28" s="72"/>
    </row>
    <row r="29" spans="2:21" x14ac:dyDescent="0.2">
      <c r="Q29" s="55"/>
      <c r="R29" s="45" t="s">
        <v>552</v>
      </c>
      <c r="S29" s="45" t="s">
        <v>553</v>
      </c>
      <c r="T29" s="45" t="s">
        <v>692</v>
      </c>
      <c r="U29" s="45" t="s">
        <v>693</v>
      </c>
    </row>
    <row r="30" spans="2:21" x14ac:dyDescent="0.2">
      <c r="Q30" s="45">
        <v>2014</v>
      </c>
      <c r="R30" s="50">
        <v>7.5</v>
      </c>
      <c r="S30" s="50">
        <v>7.5</v>
      </c>
      <c r="T30" s="50">
        <v>7.5</v>
      </c>
      <c r="U30" s="50">
        <v>7.75</v>
      </c>
    </row>
    <row r="31" spans="2:21" x14ac:dyDescent="0.2">
      <c r="Q31" s="45">
        <v>2015</v>
      </c>
      <c r="R31" s="50">
        <v>7.5</v>
      </c>
      <c r="S31" s="50">
        <v>7.5</v>
      </c>
      <c r="T31" s="50">
        <v>7.5</v>
      </c>
      <c r="U31" s="50">
        <v>7.5</v>
      </c>
    </row>
    <row r="32" spans="2:21" x14ac:dyDescent="0.2">
      <c r="Q32" s="45">
        <v>2016</v>
      </c>
      <c r="R32" s="50">
        <v>6.75</v>
      </c>
      <c r="S32" s="50">
        <v>6.5</v>
      </c>
      <c r="T32" s="50">
        <v>5</v>
      </c>
      <c r="U32" s="50">
        <v>4.75</v>
      </c>
    </row>
    <row r="33" spans="17:21" x14ac:dyDescent="0.2">
      <c r="Q33" s="45">
        <v>2017</v>
      </c>
      <c r="R33" s="50">
        <v>4.75</v>
      </c>
      <c r="S33" s="50">
        <v>4.75</v>
      </c>
      <c r="T33" s="50">
        <v>4.25</v>
      </c>
      <c r="U33" s="50">
        <v>4.25</v>
      </c>
    </row>
    <row r="34" spans="17:21" x14ac:dyDescent="0.2">
      <c r="Q34" s="45">
        <v>2018</v>
      </c>
      <c r="R34" s="50">
        <v>4.25</v>
      </c>
      <c r="S34" s="50">
        <v>5.25</v>
      </c>
      <c r="T34" s="50">
        <v>5.75</v>
      </c>
      <c r="U34" s="50">
        <v>6</v>
      </c>
    </row>
    <row r="35" spans="17:21" x14ac:dyDescent="0.2">
      <c r="Q35" s="45">
        <v>2019</v>
      </c>
      <c r="R35" s="50">
        <v>6</v>
      </c>
      <c r="S35" s="50">
        <v>6</v>
      </c>
      <c r="T35" s="50">
        <v>5.25</v>
      </c>
      <c r="U35" s="50">
        <v>5</v>
      </c>
    </row>
    <row r="36" spans="17:21" x14ac:dyDescent="0.2">
      <c r="Q36" s="45">
        <v>2020</v>
      </c>
      <c r="R36" s="50">
        <v>4.5</v>
      </c>
      <c r="S36" s="50">
        <v>4.25</v>
      </c>
      <c r="T36" s="50">
        <v>4</v>
      </c>
      <c r="U36" s="50">
        <v>3.75</v>
      </c>
    </row>
    <row r="37" spans="17:21" x14ac:dyDescent="0.2">
      <c r="Q37" s="45">
        <v>2021</v>
      </c>
      <c r="R37" s="50">
        <v>3.5000000000000004</v>
      </c>
      <c r="S37" s="50">
        <v>3.5000000000000004</v>
      </c>
      <c r="T37" s="50">
        <v>3.5000000000000004</v>
      </c>
      <c r="U37" s="50">
        <v>3.5000000000000004</v>
      </c>
    </row>
    <row r="38" spans="17:21" x14ac:dyDescent="0.2">
      <c r="Q38" s="45">
        <v>2022</v>
      </c>
      <c r="R38" s="50">
        <v>3.5000000000000004</v>
      </c>
      <c r="S38" s="50">
        <v>3.5000000000000004</v>
      </c>
      <c r="T38" s="50">
        <v>4.25</v>
      </c>
      <c r="U38" s="50">
        <v>5.5</v>
      </c>
    </row>
    <row r="39" spans="17:21" x14ac:dyDescent="0.2">
      <c r="Q39" s="45">
        <v>2023</v>
      </c>
      <c r="R39" s="50">
        <v>5.75</v>
      </c>
      <c r="S39" s="50">
        <v>5.75</v>
      </c>
      <c r="T39" s="50">
        <v>5.75</v>
      </c>
      <c r="U39" s="50">
        <v>6</v>
      </c>
    </row>
    <row r="41" spans="17:21" x14ac:dyDescent="0.2">
      <c r="Q41" s="72" t="s">
        <v>695</v>
      </c>
      <c r="R41" s="72"/>
      <c r="S41" s="72"/>
      <c r="T41" s="72"/>
      <c r="U41" s="72"/>
    </row>
    <row r="42" spans="17:21" x14ac:dyDescent="0.2">
      <c r="Q42" s="55" t="s">
        <v>628</v>
      </c>
      <c r="R42" s="72" t="s">
        <v>629</v>
      </c>
      <c r="S42" s="72"/>
      <c r="T42" s="72"/>
      <c r="U42" s="72"/>
    </row>
    <row r="43" spans="17:21" x14ac:dyDescent="0.2">
      <c r="Q43" s="55"/>
      <c r="R43" s="45" t="s">
        <v>552</v>
      </c>
      <c r="S43" s="45" t="s">
        <v>553</v>
      </c>
      <c r="T43" s="45" t="s">
        <v>692</v>
      </c>
      <c r="U43" s="45" t="s">
        <v>693</v>
      </c>
    </row>
    <row r="44" spans="17:21" x14ac:dyDescent="0.2">
      <c r="Q44" s="45">
        <v>2014</v>
      </c>
      <c r="R44" s="53">
        <v>11404</v>
      </c>
      <c r="S44" s="53">
        <v>11969</v>
      </c>
      <c r="T44" s="53">
        <v>12212</v>
      </c>
      <c r="U44" s="53">
        <v>12440</v>
      </c>
    </row>
    <row r="45" spans="17:21" x14ac:dyDescent="0.2">
      <c r="Q45" s="45">
        <v>2015</v>
      </c>
      <c r="R45" s="53">
        <v>13084</v>
      </c>
      <c r="S45" s="53">
        <v>13332</v>
      </c>
      <c r="T45" s="53">
        <v>14657</v>
      </c>
      <c r="U45" s="53">
        <v>13795</v>
      </c>
    </row>
    <row r="46" spans="17:21" x14ac:dyDescent="0.2">
      <c r="Q46" s="45">
        <v>2016</v>
      </c>
      <c r="R46" s="54">
        <v>13276</v>
      </c>
      <c r="S46" s="54">
        <v>13180</v>
      </c>
      <c r="T46" s="54">
        <v>12998</v>
      </c>
      <c r="U46" s="54">
        <v>13436</v>
      </c>
    </row>
    <row r="47" spans="17:21" x14ac:dyDescent="0.2">
      <c r="Q47" s="45">
        <v>2017</v>
      </c>
      <c r="R47" s="54">
        <v>13321</v>
      </c>
      <c r="S47" s="54">
        <v>13319</v>
      </c>
      <c r="T47" s="54">
        <v>13492</v>
      </c>
      <c r="U47" s="54">
        <v>13548</v>
      </c>
    </row>
    <row r="48" spans="17:21" x14ac:dyDescent="0.2">
      <c r="Q48" s="45">
        <v>2018</v>
      </c>
      <c r="R48" s="53">
        <v>13756</v>
      </c>
      <c r="S48" s="53">
        <v>14404</v>
      </c>
      <c r="T48" s="53">
        <v>14929</v>
      </c>
      <c r="U48" s="53">
        <v>14481</v>
      </c>
    </row>
    <row r="49" spans="17:21" x14ac:dyDescent="0.2">
      <c r="Q49" s="45">
        <v>2019</v>
      </c>
      <c r="R49" s="53">
        <v>14244</v>
      </c>
      <c r="S49" s="53">
        <v>14141</v>
      </c>
      <c r="T49" s="53">
        <v>14174</v>
      </c>
      <c r="U49" s="53">
        <v>13901.005000000001</v>
      </c>
    </row>
    <row r="50" spans="17:21" x14ac:dyDescent="0.2">
      <c r="Q50" s="45">
        <v>2020</v>
      </c>
      <c r="R50" s="54">
        <v>15194.573809523812</v>
      </c>
      <c r="S50" s="54">
        <v>14195.955000000002</v>
      </c>
      <c r="T50" s="54">
        <v>14847.956590909092</v>
      </c>
      <c r="U50" s="54">
        <v>14173.088478260872</v>
      </c>
    </row>
    <row r="51" spans="17:21" x14ac:dyDescent="0.2">
      <c r="Q51" s="45">
        <v>2021</v>
      </c>
      <c r="R51" s="54">
        <v>14417.393478260872</v>
      </c>
      <c r="S51" s="54">
        <v>14338.228863636365</v>
      </c>
      <c r="T51" s="54">
        <v>14256.957045454548</v>
      </c>
      <c r="U51" s="54">
        <v>14328.915869565217</v>
      </c>
    </row>
    <row r="52" spans="17:21" x14ac:dyDescent="0.2">
      <c r="Q52" s="45">
        <v>2022</v>
      </c>
      <c r="R52" s="54">
        <v>14349.005000000001</v>
      </c>
      <c r="S52" s="54">
        <v>14848</v>
      </c>
      <c r="T52" s="54">
        <v>15247</v>
      </c>
      <c r="U52" s="54">
        <v>15731</v>
      </c>
    </row>
    <row r="53" spans="17:21" x14ac:dyDescent="0.2">
      <c r="Q53" s="45">
        <v>2023</v>
      </c>
      <c r="R53" s="54">
        <v>15062</v>
      </c>
      <c r="S53" s="54">
        <v>15026</v>
      </c>
      <c r="T53" s="54">
        <v>15526</v>
      </c>
      <c r="U53" s="54">
        <v>15416</v>
      </c>
    </row>
    <row r="55" spans="17:21" x14ac:dyDescent="0.2">
      <c r="Q55" s="72" t="s">
        <v>694</v>
      </c>
      <c r="R55" s="72"/>
      <c r="S55" s="72"/>
      <c r="T55" s="72"/>
      <c r="U55" s="72"/>
    </row>
    <row r="56" spans="17:21" x14ac:dyDescent="0.2">
      <c r="Q56" s="55" t="s">
        <v>628</v>
      </c>
      <c r="R56" s="72" t="s">
        <v>629</v>
      </c>
      <c r="S56" s="72"/>
      <c r="T56" s="72"/>
      <c r="U56" s="72"/>
    </row>
    <row r="57" spans="17:21" x14ac:dyDescent="0.2">
      <c r="Q57" s="55"/>
      <c r="R57" s="45" t="s">
        <v>552</v>
      </c>
      <c r="S57" s="45" t="s">
        <v>553</v>
      </c>
      <c r="T57" s="45" t="s">
        <v>692</v>
      </c>
      <c r="U57" s="45" t="s">
        <v>693</v>
      </c>
    </row>
    <row r="58" spans="17:21" x14ac:dyDescent="0.2">
      <c r="Q58" s="45">
        <v>2014</v>
      </c>
      <c r="R58" s="51">
        <v>0.08</v>
      </c>
      <c r="S58" s="51">
        <v>0.43</v>
      </c>
      <c r="T58" s="52">
        <v>0.27</v>
      </c>
      <c r="U58" s="52">
        <v>2.46</v>
      </c>
    </row>
    <row r="59" spans="17:21" x14ac:dyDescent="0.2">
      <c r="Q59" s="45">
        <v>2015</v>
      </c>
      <c r="R59" s="52">
        <v>0.17</v>
      </c>
      <c r="S59" s="52">
        <v>0.54</v>
      </c>
      <c r="T59" s="52">
        <v>0.08</v>
      </c>
      <c r="U59" s="52">
        <v>0.96</v>
      </c>
    </row>
    <row r="60" spans="17:21" x14ac:dyDescent="0.2">
      <c r="Q60" s="45">
        <v>2016</v>
      </c>
      <c r="R60" s="52">
        <v>0.19</v>
      </c>
      <c r="S60" s="52">
        <v>0.66</v>
      </c>
      <c r="T60" s="52">
        <v>0.22</v>
      </c>
      <c r="U60" s="52">
        <v>0.42</v>
      </c>
    </row>
    <row r="61" spans="17:21" x14ac:dyDescent="0.2">
      <c r="Q61" s="45">
        <v>2017</v>
      </c>
      <c r="R61" s="52">
        <v>0.02</v>
      </c>
      <c r="S61" s="52">
        <v>0.69</v>
      </c>
      <c r="T61" s="52">
        <v>0.13</v>
      </c>
      <c r="U61" s="52">
        <v>0.71</v>
      </c>
    </row>
    <row r="62" spans="17:21" x14ac:dyDescent="0.2">
      <c r="Q62" s="45">
        <v>2018</v>
      </c>
      <c r="R62" s="47">
        <v>0.2</v>
      </c>
      <c r="S62" s="52">
        <v>0.59</v>
      </c>
      <c r="T62" s="52">
        <v>0.18</v>
      </c>
      <c r="U62" s="52">
        <v>0.62</v>
      </c>
    </row>
    <row r="63" spans="17:21" x14ac:dyDescent="0.2">
      <c r="Q63" s="45">
        <v>2019</v>
      </c>
      <c r="R63" s="52">
        <v>0.11</v>
      </c>
      <c r="S63" s="52">
        <v>0.55000000000000004</v>
      </c>
      <c r="T63" s="52">
        <v>0.27</v>
      </c>
      <c r="U63" s="52">
        <v>0.34</v>
      </c>
    </row>
    <row r="64" spans="17:21" x14ac:dyDescent="0.2">
      <c r="Q64" s="45">
        <v>2020</v>
      </c>
      <c r="R64" s="50">
        <v>0.1</v>
      </c>
      <c r="S64" s="50">
        <v>0.18</v>
      </c>
      <c r="T64" s="50">
        <v>0.05</v>
      </c>
      <c r="U64" s="50">
        <v>0.45</v>
      </c>
    </row>
    <row r="65" spans="17:21" x14ac:dyDescent="0.2">
      <c r="Q65" s="45">
        <v>2021</v>
      </c>
      <c r="R65" s="50">
        <v>0.08</v>
      </c>
      <c r="S65" s="50">
        <v>0.16</v>
      </c>
      <c r="T65" s="50">
        <v>0.04</v>
      </c>
      <c r="U65" s="50">
        <v>0.56999999999999995</v>
      </c>
    </row>
    <row r="66" spans="17:21" x14ac:dyDescent="0.2">
      <c r="Q66" s="45">
        <v>2022</v>
      </c>
      <c r="R66" s="50">
        <v>0.66</v>
      </c>
      <c r="S66" s="50">
        <v>0.61</v>
      </c>
      <c r="T66" s="50">
        <v>1.17</v>
      </c>
      <c r="U66" s="50">
        <v>0.66</v>
      </c>
    </row>
    <row r="67" spans="17:21" x14ac:dyDescent="0.2">
      <c r="Q67" s="45">
        <v>2023</v>
      </c>
      <c r="R67" s="50">
        <v>0.66</v>
      </c>
      <c r="S67" s="50">
        <v>0.61</v>
      </c>
      <c r="T67" s="50">
        <v>1.17</v>
      </c>
      <c r="U67" s="50">
        <v>0.41</v>
      </c>
    </row>
  </sheetData>
  <mergeCells count="11">
    <mergeCell ref="R56:U56"/>
    <mergeCell ref="Q56:Q57"/>
    <mergeCell ref="Q55:U55"/>
    <mergeCell ref="Q41:U41"/>
    <mergeCell ref="Q42:Q43"/>
    <mergeCell ref="R42:U42"/>
    <mergeCell ref="Q27:U27"/>
    <mergeCell ref="Q28:Q29"/>
    <mergeCell ref="R28:U28"/>
    <mergeCell ref="C3:L3"/>
    <mergeCell ref="B3:B4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5DAC-59CA-D640-8B41-E4F0B0D06515}">
  <dimension ref="C4:E34"/>
  <sheetViews>
    <sheetView workbookViewId="0">
      <selection activeCell="E4" sqref="E4"/>
    </sheetView>
  </sheetViews>
  <sheetFormatPr baseColWidth="10" defaultRowHeight="16" x14ac:dyDescent="0.2"/>
  <cols>
    <col min="3" max="3" width="4" style="2" bestFit="1" customWidth="1"/>
    <col min="4" max="4" width="11.5" style="2" bestFit="1" customWidth="1"/>
    <col min="5" max="5" width="45.5" style="2" bestFit="1" customWidth="1"/>
  </cols>
  <sheetData>
    <row r="4" spans="3:5" x14ac:dyDescent="0.2">
      <c r="C4" s="13" t="s">
        <v>0</v>
      </c>
      <c r="D4" s="13" t="s">
        <v>690</v>
      </c>
      <c r="E4" s="13" t="s">
        <v>2</v>
      </c>
    </row>
    <row r="5" spans="3:5" x14ac:dyDescent="0.2">
      <c r="C5" s="13">
        <v>1</v>
      </c>
      <c r="D5" s="13" t="s">
        <v>5</v>
      </c>
      <c r="E5" s="13" t="s">
        <v>6</v>
      </c>
    </row>
    <row r="6" spans="3:5" x14ac:dyDescent="0.2">
      <c r="C6" s="13">
        <v>2</v>
      </c>
      <c r="D6" s="13" t="s">
        <v>7</v>
      </c>
      <c r="E6" s="13" t="s">
        <v>8</v>
      </c>
    </row>
    <row r="7" spans="3:5" x14ac:dyDescent="0.2">
      <c r="C7" s="13">
        <v>3</v>
      </c>
      <c r="D7" s="13" t="s">
        <v>9</v>
      </c>
      <c r="E7" s="13" t="s">
        <v>10</v>
      </c>
    </row>
    <row r="8" spans="3:5" x14ac:dyDescent="0.2">
      <c r="C8" s="13">
        <v>4</v>
      </c>
      <c r="D8" s="13" t="s">
        <v>11</v>
      </c>
      <c r="E8" s="13" t="s">
        <v>12</v>
      </c>
    </row>
    <row r="9" spans="3:5" x14ac:dyDescent="0.2">
      <c r="C9" s="13">
        <v>5</v>
      </c>
      <c r="D9" s="13" t="s">
        <v>13</v>
      </c>
      <c r="E9" s="13" t="s">
        <v>14</v>
      </c>
    </row>
    <row r="10" spans="3:5" x14ac:dyDescent="0.2">
      <c r="C10" s="13">
        <v>6</v>
      </c>
      <c r="D10" s="13" t="s">
        <v>15</v>
      </c>
      <c r="E10" s="13" t="s">
        <v>16</v>
      </c>
    </row>
    <row r="11" spans="3:5" x14ac:dyDescent="0.2">
      <c r="C11" s="13">
        <v>7</v>
      </c>
      <c r="D11" s="13" t="s">
        <v>17</v>
      </c>
      <c r="E11" s="13" t="s">
        <v>18</v>
      </c>
    </row>
    <row r="12" spans="3:5" x14ac:dyDescent="0.2">
      <c r="C12" s="13">
        <v>8</v>
      </c>
      <c r="D12" s="13" t="s">
        <v>19</v>
      </c>
      <c r="E12" s="13" t="s">
        <v>20</v>
      </c>
    </row>
    <row r="13" spans="3:5" x14ac:dyDescent="0.2">
      <c r="C13" s="13">
        <v>9</v>
      </c>
      <c r="D13" s="13" t="s">
        <v>21</v>
      </c>
      <c r="E13" s="13" t="s">
        <v>22</v>
      </c>
    </row>
    <row r="14" spans="3:5" x14ac:dyDescent="0.2">
      <c r="C14" s="13">
        <v>10</v>
      </c>
      <c r="D14" s="13" t="s">
        <v>25</v>
      </c>
      <c r="E14" s="13" t="s">
        <v>26</v>
      </c>
    </row>
    <row r="15" spans="3:5" x14ac:dyDescent="0.2">
      <c r="C15" s="13">
        <v>11</v>
      </c>
      <c r="D15" s="13" t="s">
        <v>31</v>
      </c>
      <c r="E15" s="13" t="s">
        <v>32</v>
      </c>
    </row>
    <row r="16" spans="3:5" x14ac:dyDescent="0.2">
      <c r="C16" s="13">
        <v>12</v>
      </c>
      <c r="D16" s="13" t="s">
        <v>33</v>
      </c>
      <c r="E16" s="13" t="s">
        <v>34</v>
      </c>
    </row>
    <row r="17" spans="3:5" x14ac:dyDescent="0.2">
      <c r="C17" s="13">
        <v>13</v>
      </c>
      <c r="D17" s="13" t="s">
        <v>35</v>
      </c>
      <c r="E17" s="13" t="s">
        <v>36</v>
      </c>
    </row>
    <row r="18" spans="3:5" x14ac:dyDescent="0.2">
      <c r="C18" s="13">
        <v>14</v>
      </c>
      <c r="D18" s="13" t="s">
        <v>37</v>
      </c>
      <c r="E18" s="13" t="s">
        <v>38</v>
      </c>
    </row>
    <row r="19" spans="3:5" x14ac:dyDescent="0.2">
      <c r="C19" s="13">
        <v>15</v>
      </c>
      <c r="D19" s="13" t="s">
        <v>39</v>
      </c>
      <c r="E19" s="13" t="s">
        <v>40</v>
      </c>
    </row>
    <row r="20" spans="3:5" x14ac:dyDescent="0.2">
      <c r="C20" s="13">
        <v>16</v>
      </c>
      <c r="D20" s="13" t="s">
        <v>41</v>
      </c>
      <c r="E20" s="13" t="s">
        <v>42</v>
      </c>
    </row>
    <row r="21" spans="3:5" x14ac:dyDescent="0.2">
      <c r="C21" s="13">
        <v>17</v>
      </c>
      <c r="D21" s="13" t="s">
        <v>43</v>
      </c>
      <c r="E21" s="13" t="s">
        <v>44</v>
      </c>
    </row>
    <row r="22" spans="3:5" x14ac:dyDescent="0.2">
      <c r="C22" s="13">
        <v>18</v>
      </c>
      <c r="D22" s="13" t="s">
        <v>45</v>
      </c>
      <c r="E22" s="13" t="s">
        <v>46</v>
      </c>
    </row>
    <row r="23" spans="3:5" x14ac:dyDescent="0.2">
      <c r="C23" s="13">
        <v>19</v>
      </c>
      <c r="D23" s="13" t="s">
        <v>47</v>
      </c>
      <c r="E23" s="13" t="s">
        <v>48</v>
      </c>
    </row>
    <row r="24" spans="3:5" x14ac:dyDescent="0.2">
      <c r="C24" s="13">
        <v>20</v>
      </c>
      <c r="D24" s="13" t="s">
        <v>51</v>
      </c>
      <c r="E24" s="13" t="s">
        <v>52</v>
      </c>
    </row>
    <row r="25" spans="3:5" x14ac:dyDescent="0.2">
      <c r="C25" s="13">
        <v>21</v>
      </c>
      <c r="D25" s="13" t="s">
        <v>53</v>
      </c>
      <c r="E25" s="13" t="s">
        <v>54</v>
      </c>
    </row>
    <row r="26" spans="3:5" x14ac:dyDescent="0.2">
      <c r="C26" s="13">
        <v>22</v>
      </c>
      <c r="D26" s="13" t="s">
        <v>61</v>
      </c>
      <c r="E26" s="13" t="s">
        <v>62</v>
      </c>
    </row>
    <row r="27" spans="3:5" x14ac:dyDescent="0.2">
      <c r="C27" s="13">
        <v>23</v>
      </c>
      <c r="D27" s="13" t="s">
        <v>63</v>
      </c>
      <c r="E27" s="13" t="s">
        <v>64</v>
      </c>
    </row>
    <row r="28" spans="3:5" x14ac:dyDescent="0.2">
      <c r="C28" s="13">
        <v>24</v>
      </c>
      <c r="D28" s="13" t="s">
        <v>65</v>
      </c>
      <c r="E28" s="13" t="s">
        <v>66</v>
      </c>
    </row>
    <row r="29" spans="3:5" x14ac:dyDescent="0.2">
      <c r="C29" s="13">
        <v>25</v>
      </c>
      <c r="D29" s="13" t="s">
        <v>67</v>
      </c>
      <c r="E29" s="13" t="s">
        <v>68</v>
      </c>
    </row>
    <row r="30" spans="3:5" x14ac:dyDescent="0.2">
      <c r="C30" s="13">
        <v>26</v>
      </c>
      <c r="D30" s="13" t="s">
        <v>71</v>
      </c>
      <c r="E30" s="13" t="s">
        <v>72</v>
      </c>
    </row>
    <row r="31" spans="3:5" x14ac:dyDescent="0.2">
      <c r="C31" s="13">
        <v>27</v>
      </c>
      <c r="D31" s="13" t="s">
        <v>79</v>
      </c>
      <c r="E31" s="13" t="s">
        <v>80</v>
      </c>
    </row>
    <row r="32" spans="3:5" x14ac:dyDescent="0.2">
      <c r="C32" s="13">
        <v>28</v>
      </c>
      <c r="D32" s="13" t="s">
        <v>85</v>
      </c>
      <c r="E32" s="13" t="s">
        <v>86</v>
      </c>
    </row>
    <row r="33" spans="3:5" x14ac:dyDescent="0.2">
      <c r="C33" s="13">
        <v>29</v>
      </c>
      <c r="D33" s="13" t="s">
        <v>87</v>
      </c>
      <c r="E33" s="13" t="s">
        <v>88</v>
      </c>
    </row>
    <row r="34" spans="3:5" x14ac:dyDescent="0.2">
      <c r="C34" s="13">
        <v>30</v>
      </c>
      <c r="D34" s="13" t="s">
        <v>89</v>
      </c>
      <c r="E34" s="13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19CB-11DE-6647-8508-F5CE2E0C1E59}">
  <dimension ref="A2:AL60"/>
  <sheetViews>
    <sheetView topLeftCell="A8" workbookViewId="0">
      <selection activeCell="H8" sqref="H8:I8"/>
    </sheetView>
  </sheetViews>
  <sheetFormatPr baseColWidth="10" defaultRowHeight="16" x14ac:dyDescent="0.2"/>
  <cols>
    <col min="1" max="1" width="18" bestFit="1" customWidth="1"/>
    <col min="3" max="3" width="14.5" bestFit="1" customWidth="1"/>
    <col min="5" max="5" width="12.5" bestFit="1" customWidth="1"/>
  </cols>
  <sheetData>
    <row r="2" spans="1:24" x14ac:dyDescent="0.2">
      <c r="A2" s="75" t="s">
        <v>185</v>
      </c>
      <c r="B2" s="75"/>
      <c r="C2" s="75"/>
      <c r="D2" s="75"/>
      <c r="E2" s="25">
        <v>2021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x14ac:dyDescent="0.2">
      <c r="A3" s="73" t="s">
        <v>91</v>
      </c>
      <c r="B3" s="74"/>
      <c r="C3" s="73" t="s">
        <v>92</v>
      </c>
      <c r="D3" s="74"/>
      <c r="E3" s="73" t="s">
        <v>93</v>
      </c>
      <c r="F3" s="74"/>
      <c r="G3" s="73" t="s">
        <v>94</v>
      </c>
      <c r="H3" s="74"/>
      <c r="I3" s="73" t="s">
        <v>95</v>
      </c>
      <c r="J3" s="74"/>
      <c r="K3" s="73" t="s">
        <v>96</v>
      </c>
      <c r="L3" s="74"/>
      <c r="M3" s="73" t="s">
        <v>97</v>
      </c>
      <c r="N3" s="74"/>
      <c r="O3" s="73" t="s">
        <v>98</v>
      </c>
      <c r="P3" s="74"/>
      <c r="Q3" s="73" t="s">
        <v>99</v>
      </c>
      <c r="R3" s="74"/>
      <c r="S3" s="73" t="s">
        <v>100</v>
      </c>
      <c r="T3" s="74"/>
      <c r="U3" s="73" t="s">
        <v>101</v>
      </c>
      <c r="V3" s="74"/>
      <c r="W3" s="73" t="s">
        <v>102</v>
      </c>
      <c r="X3" s="74"/>
    </row>
    <row r="4" spans="1:24" x14ac:dyDescent="0.2">
      <c r="A4" s="16" t="s">
        <v>186</v>
      </c>
      <c r="B4" s="16" t="s">
        <v>187</v>
      </c>
      <c r="C4" s="16" t="s">
        <v>186</v>
      </c>
      <c r="D4" s="16" t="s">
        <v>187</v>
      </c>
      <c r="E4" s="16" t="s">
        <v>186</v>
      </c>
      <c r="F4" s="16" t="s">
        <v>187</v>
      </c>
      <c r="G4" s="16" t="s">
        <v>186</v>
      </c>
      <c r="H4" s="16" t="s">
        <v>187</v>
      </c>
      <c r="I4" s="16" t="s">
        <v>186</v>
      </c>
      <c r="J4" s="16" t="s">
        <v>187</v>
      </c>
      <c r="K4" s="16" t="s">
        <v>186</v>
      </c>
      <c r="L4" s="16" t="s">
        <v>187</v>
      </c>
      <c r="M4" s="16" t="s">
        <v>186</v>
      </c>
      <c r="N4" s="16" t="s">
        <v>187</v>
      </c>
      <c r="O4" s="16" t="s">
        <v>186</v>
      </c>
      <c r="P4" s="16" t="s">
        <v>187</v>
      </c>
      <c r="Q4" s="16" t="s">
        <v>186</v>
      </c>
      <c r="R4" s="16" t="s">
        <v>187</v>
      </c>
      <c r="S4" s="16" t="s">
        <v>186</v>
      </c>
      <c r="T4" s="16" t="s">
        <v>187</v>
      </c>
      <c r="U4" s="16" t="s">
        <v>186</v>
      </c>
      <c r="V4" s="16" t="s">
        <v>187</v>
      </c>
      <c r="W4" s="16" t="s">
        <v>186</v>
      </c>
      <c r="X4" s="16" t="s">
        <v>187</v>
      </c>
    </row>
    <row r="5" spans="1:24" x14ac:dyDescent="0.2">
      <c r="A5" s="17" t="s">
        <v>188</v>
      </c>
      <c r="B5" s="18">
        <v>14084</v>
      </c>
      <c r="C5" s="17">
        <v>44253</v>
      </c>
      <c r="D5" s="18">
        <v>14229</v>
      </c>
      <c r="E5" s="17">
        <v>44286</v>
      </c>
      <c r="F5" s="18">
        <v>14572</v>
      </c>
      <c r="G5" s="17" t="s">
        <v>189</v>
      </c>
      <c r="H5" s="18">
        <v>14468</v>
      </c>
      <c r="I5" s="17" t="s">
        <v>190</v>
      </c>
      <c r="J5" s="18">
        <v>14310</v>
      </c>
      <c r="K5" s="17" t="s">
        <v>191</v>
      </c>
      <c r="L5" s="18">
        <v>14496</v>
      </c>
      <c r="M5" s="17" t="s">
        <v>192</v>
      </c>
      <c r="N5" s="18">
        <v>14491.004999999999</v>
      </c>
      <c r="O5" s="17" t="s">
        <v>193</v>
      </c>
      <c r="P5" s="18">
        <v>14374</v>
      </c>
      <c r="Q5" s="17" t="s">
        <v>194</v>
      </c>
      <c r="R5" s="18">
        <v>14307.005000000001</v>
      </c>
      <c r="S5" s="17" t="s">
        <v>195</v>
      </c>
      <c r="T5" s="18">
        <v>14199.005000000001</v>
      </c>
      <c r="U5" s="17" t="s">
        <v>196</v>
      </c>
      <c r="V5" s="18">
        <v>14340</v>
      </c>
      <c r="W5" s="17" t="s">
        <v>197</v>
      </c>
      <c r="X5" s="18">
        <v>14269.004999999999</v>
      </c>
    </row>
    <row r="6" spans="1:24" x14ac:dyDescent="0.2">
      <c r="A6" s="17" t="s">
        <v>198</v>
      </c>
      <c r="B6" s="18">
        <v>14119</v>
      </c>
      <c r="C6" s="17">
        <v>44252</v>
      </c>
      <c r="D6" s="18">
        <v>14104</v>
      </c>
      <c r="E6" s="17">
        <v>44285</v>
      </c>
      <c r="F6" s="18">
        <v>14481.005000000001</v>
      </c>
      <c r="G6" s="17" t="s">
        <v>199</v>
      </c>
      <c r="H6" s="18">
        <v>14510</v>
      </c>
      <c r="I6" s="17" t="s">
        <v>200</v>
      </c>
      <c r="J6" s="18">
        <v>14312</v>
      </c>
      <c r="K6" s="17" t="s">
        <v>201</v>
      </c>
      <c r="L6" s="18">
        <v>14472</v>
      </c>
      <c r="M6" s="17" t="s">
        <v>202</v>
      </c>
      <c r="N6" s="18">
        <v>14498</v>
      </c>
      <c r="O6" s="17" t="s">
        <v>203</v>
      </c>
      <c r="P6" s="18">
        <v>14431.005000000001</v>
      </c>
      <c r="Q6" s="17" t="s">
        <v>204</v>
      </c>
      <c r="R6" s="18">
        <v>14269.005000000001</v>
      </c>
      <c r="S6" s="17" t="s">
        <v>205</v>
      </c>
      <c r="T6" s="18">
        <v>14184</v>
      </c>
      <c r="U6" s="17" t="s">
        <v>206</v>
      </c>
      <c r="V6" s="18">
        <v>14280</v>
      </c>
      <c r="W6" s="17" t="s">
        <v>207</v>
      </c>
      <c r="X6" s="18">
        <v>14265.005000000001</v>
      </c>
    </row>
    <row r="7" spans="1:24" x14ac:dyDescent="0.2">
      <c r="A7" s="17" t="s">
        <v>208</v>
      </c>
      <c r="B7" s="18">
        <v>14091</v>
      </c>
      <c r="C7" s="17">
        <v>44251</v>
      </c>
      <c r="D7" s="18">
        <v>14089</v>
      </c>
      <c r="E7" s="17">
        <v>44284</v>
      </c>
      <c r="F7" s="18">
        <v>14434</v>
      </c>
      <c r="G7" s="17" t="s">
        <v>209</v>
      </c>
      <c r="H7" s="18">
        <v>14497.005000000001</v>
      </c>
      <c r="I7" s="17" t="s">
        <v>210</v>
      </c>
      <c r="J7" s="18">
        <v>14335.005000000001</v>
      </c>
      <c r="K7" s="17" t="s">
        <v>211</v>
      </c>
      <c r="L7" s="18">
        <v>14447.005000000001</v>
      </c>
      <c r="M7" s="17" t="s">
        <v>212</v>
      </c>
      <c r="N7" s="18">
        <v>14489.005000000001</v>
      </c>
      <c r="O7" s="17" t="s">
        <v>213</v>
      </c>
      <c r="P7" s="18">
        <v>14423.005000000001</v>
      </c>
      <c r="Q7" s="17" t="s">
        <v>214</v>
      </c>
      <c r="R7" s="18">
        <v>14258</v>
      </c>
      <c r="S7" s="17" t="s">
        <v>215</v>
      </c>
      <c r="T7" s="18">
        <v>14165.005000000001</v>
      </c>
      <c r="U7" s="17" t="s">
        <v>216</v>
      </c>
      <c r="V7" s="18">
        <v>14280</v>
      </c>
      <c r="W7" s="17" t="s">
        <v>217</v>
      </c>
      <c r="X7" s="18">
        <v>14237.005000000001</v>
      </c>
    </row>
    <row r="8" spans="1:24" x14ac:dyDescent="0.2">
      <c r="A8" s="17" t="s">
        <v>218</v>
      </c>
      <c r="B8" s="18">
        <v>14086</v>
      </c>
      <c r="C8" s="17">
        <v>44250</v>
      </c>
      <c r="D8" s="18">
        <v>14126</v>
      </c>
      <c r="E8" s="17">
        <v>44281</v>
      </c>
      <c r="F8" s="18">
        <v>14446</v>
      </c>
      <c r="G8" s="17" t="s">
        <v>219</v>
      </c>
      <c r="H8" s="18">
        <v>14489.005000000001</v>
      </c>
      <c r="I8" s="17" t="s">
        <v>220</v>
      </c>
      <c r="J8" s="18">
        <v>14362</v>
      </c>
      <c r="K8" s="17" t="s">
        <v>221</v>
      </c>
      <c r="L8" s="18">
        <v>14462</v>
      </c>
      <c r="M8" s="17" t="s">
        <v>222</v>
      </c>
      <c r="N8" s="18">
        <v>14494</v>
      </c>
      <c r="O8" s="17" t="s">
        <v>223</v>
      </c>
      <c r="P8" s="18">
        <v>14408</v>
      </c>
      <c r="Q8" s="17" t="s">
        <v>224</v>
      </c>
      <c r="R8" s="18">
        <v>14250</v>
      </c>
      <c r="S8" s="17" t="s">
        <v>225</v>
      </c>
      <c r="T8" s="18">
        <v>14183.005000000001</v>
      </c>
      <c r="U8" s="17" t="s">
        <v>226</v>
      </c>
      <c r="V8" s="18">
        <v>14272</v>
      </c>
      <c r="W8" s="17" t="s">
        <v>227</v>
      </c>
      <c r="X8" s="18">
        <v>14225.004999999999</v>
      </c>
    </row>
    <row r="9" spans="1:24" x14ac:dyDescent="0.2">
      <c r="A9" s="17" t="s">
        <v>228</v>
      </c>
      <c r="B9" s="18">
        <v>14082</v>
      </c>
      <c r="C9" s="17" t="s">
        <v>229</v>
      </c>
      <c r="D9" s="18">
        <v>14098</v>
      </c>
      <c r="E9" s="17">
        <v>44280</v>
      </c>
      <c r="F9" s="18">
        <v>14464</v>
      </c>
      <c r="G9" s="17" t="s">
        <v>230</v>
      </c>
      <c r="H9" s="18">
        <v>14548</v>
      </c>
      <c r="I9" s="17" t="s">
        <v>231</v>
      </c>
      <c r="J9" s="18">
        <v>14362</v>
      </c>
      <c r="K9" s="17" t="s">
        <v>232</v>
      </c>
      <c r="L9" s="18">
        <v>14454</v>
      </c>
      <c r="M9" s="17" t="s">
        <v>233</v>
      </c>
      <c r="N9" s="18">
        <v>14501.005000000001</v>
      </c>
      <c r="O9" s="17" t="s">
        <v>234</v>
      </c>
      <c r="P9" s="18">
        <v>14391.004999999999</v>
      </c>
      <c r="Q9" s="17" t="s">
        <v>235</v>
      </c>
      <c r="R9" s="18">
        <v>14256</v>
      </c>
      <c r="S9" s="17" t="s">
        <v>236</v>
      </c>
      <c r="T9" s="18">
        <v>14162</v>
      </c>
      <c r="U9" s="17" t="s">
        <v>237</v>
      </c>
      <c r="V9" s="18">
        <v>14272</v>
      </c>
      <c r="W9" s="17" t="s">
        <v>238</v>
      </c>
      <c r="X9" s="18">
        <v>14219.005000000001</v>
      </c>
    </row>
    <row r="10" spans="1:24" x14ac:dyDescent="0.2">
      <c r="A10" s="17" t="s">
        <v>239</v>
      </c>
      <c r="B10" s="18">
        <v>14054</v>
      </c>
      <c r="C10" s="17" t="s">
        <v>240</v>
      </c>
      <c r="D10" s="18">
        <v>14085</v>
      </c>
      <c r="E10" s="17">
        <v>44279</v>
      </c>
      <c r="F10" s="18">
        <v>14455.005000000001</v>
      </c>
      <c r="G10" s="17" t="s">
        <v>241</v>
      </c>
      <c r="H10" s="18">
        <v>14530</v>
      </c>
      <c r="I10" s="17" t="s">
        <v>242</v>
      </c>
      <c r="J10" s="18">
        <v>14375.004999999999</v>
      </c>
      <c r="K10" s="17" t="s">
        <v>243</v>
      </c>
      <c r="L10" s="18">
        <v>14421.005000000001</v>
      </c>
      <c r="M10" s="17" t="s">
        <v>244</v>
      </c>
      <c r="N10" s="18">
        <v>14508</v>
      </c>
      <c r="O10" s="17" t="s">
        <v>245</v>
      </c>
      <c r="P10" s="18">
        <v>14415.005000000001</v>
      </c>
      <c r="Q10" s="17" t="s">
        <v>246</v>
      </c>
      <c r="R10" s="18">
        <v>14249.005000000001</v>
      </c>
      <c r="S10" s="17" t="s">
        <v>247</v>
      </c>
      <c r="T10" s="18">
        <v>14133.005000000001</v>
      </c>
      <c r="U10" s="17" t="s">
        <v>248</v>
      </c>
      <c r="V10" s="18">
        <v>14255.005000000001</v>
      </c>
      <c r="W10" s="17" t="s">
        <v>249</v>
      </c>
      <c r="X10" s="18">
        <v>14251.005000000001</v>
      </c>
    </row>
    <row r="11" spans="1:24" x14ac:dyDescent="0.2">
      <c r="A11" s="17" t="s">
        <v>250</v>
      </c>
      <c r="B11" s="18">
        <v>14039</v>
      </c>
      <c r="C11" s="17" t="s">
        <v>251</v>
      </c>
      <c r="D11" s="18">
        <v>14059</v>
      </c>
      <c r="E11" s="17">
        <v>44278</v>
      </c>
      <c r="F11" s="18">
        <v>14421.005000000001</v>
      </c>
      <c r="G11" s="17" t="s">
        <v>252</v>
      </c>
      <c r="H11" s="18">
        <v>14549.005000000001</v>
      </c>
      <c r="I11" s="17" t="s">
        <v>253</v>
      </c>
      <c r="J11" s="18">
        <v>14396</v>
      </c>
      <c r="K11" s="17" t="s">
        <v>254</v>
      </c>
      <c r="L11" s="18">
        <v>14453.005000000001</v>
      </c>
      <c r="M11" s="17" t="s">
        <v>255</v>
      </c>
      <c r="N11" s="18">
        <v>14554</v>
      </c>
      <c r="O11" s="17" t="s">
        <v>256</v>
      </c>
      <c r="P11" s="18">
        <v>14464</v>
      </c>
      <c r="Q11" s="17" t="s">
        <v>257</v>
      </c>
      <c r="R11" s="18">
        <v>14244</v>
      </c>
      <c r="S11" s="17" t="s">
        <v>258</v>
      </c>
      <c r="T11" s="18">
        <v>14080</v>
      </c>
      <c r="U11" s="17" t="s">
        <v>259</v>
      </c>
      <c r="V11" s="18">
        <v>14237.005000000001</v>
      </c>
      <c r="W11" s="17" t="s">
        <v>260</v>
      </c>
      <c r="X11" s="18">
        <v>14264</v>
      </c>
    </row>
    <row r="12" spans="1:24" x14ac:dyDescent="0.2">
      <c r="A12" s="17" t="s">
        <v>261</v>
      </c>
      <c r="B12" s="18">
        <v>14065</v>
      </c>
      <c r="C12" s="17" t="s">
        <v>262</v>
      </c>
      <c r="D12" s="18">
        <v>14019</v>
      </c>
      <c r="E12" s="17">
        <v>44277</v>
      </c>
      <c r="F12" s="18">
        <v>14456</v>
      </c>
      <c r="G12" s="17" t="s">
        <v>263</v>
      </c>
      <c r="H12" s="18">
        <v>14508</v>
      </c>
      <c r="I12" s="17" t="s">
        <v>264</v>
      </c>
      <c r="J12" s="18">
        <v>14313.005000000001</v>
      </c>
      <c r="K12" s="17" t="s">
        <v>265</v>
      </c>
      <c r="L12" s="18">
        <v>14403.005000000001</v>
      </c>
      <c r="M12" s="17" t="s">
        <v>266</v>
      </c>
      <c r="N12" s="18">
        <v>14524</v>
      </c>
      <c r="O12" s="17" t="s">
        <v>267</v>
      </c>
      <c r="P12" s="18">
        <v>14414</v>
      </c>
      <c r="Q12" s="17" t="s">
        <v>268</v>
      </c>
      <c r="R12" s="18">
        <v>14251.005000000001</v>
      </c>
      <c r="S12" s="17" t="s">
        <v>269</v>
      </c>
      <c r="T12" s="18">
        <v>14096</v>
      </c>
      <c r="U12" s="17" t="s">
        <v>270</v>
      </c>
      <c r="V12" s="18">
        <v>14231.005000000001</v>
      </c>
      <c r="W12" s="17" t="s">
        <v>271</v>
      </c>
      <c r="X12" s="18">
        <v>14349.005000000001</v>
      </c>
    </row>
    <row r="13" spans="1:24" x14ac:dyDescent="0.2">
      <c r="A13" s="17" t="s">
        <v>272</v>
      </c>
      <c r="B13" s="18">
        <v>14086</v>
      </c>
      <c r="C13" s="17" t="s">
        <v>273</v>
      </c>
      <c r="D13" s="18">
        <v>13875</v>
      </c>
      <c r="E13" s="17">
        <v>44274</v>
      </c>
      <c r="F13" s="18">
        <v>14476</v>
      </c>
      <c r="G13" s="17" t="s">
        <v>274</v>
      </c>
      <c r="H13" s="18">
        <v>14568</v>
      </c>
      <c r="I13" s="17" t="s">
        <v>275</v>
      </c>
      <c r="J13" s="18">
        <v>14300</v>
      </c>
      <c r="K13" s="17" t="s">
        <v>276</v>
      </c>
      <c r="L13" s="18">
        <v>14378</v>
      </c>
      <c r="M13" s="17" t="s">
        <v>277</v>
      </c>
      <c r="N13" s="18">
        <v>14517.005000000001</v>
      </c>
      <c r="O13" s="17" t="s">
        <v>278</v>
      </c>
      <c r="P13" s="18">
        <v>14384</v>
      </c>
      <c r="Q13" s="17" t="s">
        <v>279</v>
      </c>
      <c r="R13" s="18">
        <v>14233.005000000001</v>
      </c>
      <c r="S13" s="17" t="s">
        <v>280</v>
      </c>
      <c r="T13" s="18">
        <v>14084</v>
      </c>
      <c r="U13" s="17" t="s">
        <v>281</v>
      </c>
      <c r="V13" s="18">
        <v>14259.004999999999</v>
      </c>
      <c r="W13" s="17" t="s">
        <v>282</v>
      </c>
      <c r="X13" s="18">
        <v>14384</v>
      </c>
    </row>
    <row r="14" spans="1:24" x14ac:dyDescent="0.2">
      <c r="A14" s="17" t="s">
        <v>283</v>
      </c>
      <c r="B14" s="18">
        <v>14080</v>
      </c>
      <c r="C14" s="17" t="s">
        <v>284</v>
      </c>
      <c r="D14" s="18">
        <v>13946</v>
      </c>
      <c r="E14" s="17">
        <v>44273</v>
      </c>
      <c r="F14" s="18">
        <v>14412</v>
      </c>
      <c r="G14" s="17" t="s">
        <v>285</v>
      </c>
      <c r="H14" s="18">
        <v>14592</v>
      </c>
      <c r="I14" s="17" t="s">
        <v>286</v>
      </c>
      <c r="J14" s="18">
        <v>14284</v>
      </c>
      <c r="K14" s="17" t="s">
        <v>287</v>
      </c>
      <c r="L14" s="18">
        <v>14257.005000000001</v>
      </c>
      <c r="M14" s="17" t="s">
        <v>288</v>
      </c>
      <c r="N14" s="18">
        <v>14503.005000000001</v>
      </c>
      <c r="O14" s="17" t="s">
        <v>289</v>
      </c>
      <c r="P14" s="18">
        <v>14383.005000000001</v>
      </c>
      <c r="Q14" s="17" t="s">
        <v>290</v>
      </c>
      <c r="R14" s="18">
        <v>14238</v>
      </c>
      <c r="S14" s="17" t="s">
        <v>291</v>
      </c>
      <c r="T14" s="18">
        <v>14155.005000000001</v>
      </c>
      <c r="U14" s="17" t="s">
        <v>292</v>
      </c>
      <c r="V14" s="18">
        <v>14211.005000000001</v>
      </c>
      <c r="W14" s="17" t="s">
        <v>293</v>
      </c>
      <c r="X14" s="18">
        <v>14343.005000000001</v>
      </c>
    </row>
    <row r="15" spans="1:24" x14ac:dyDescent="0.2">
      <c r="A15" s="17" t="s">
        <v>294</v>
      </c>
      <c r="B15" s="18">
        <v>14068</v>
      </c>
      <c r="C15" s="17" t="s">
        <v>295</v>
      </c>
      <c r="D15" s="18">
        <v>14011</v>
      </c>
      <c r="E15" s="17">
        <v>44272</v>
      </c>
      <c r="F15" s="18">
        <v>14459.004999999999</v>
      </c>
      <c r="G15" s="17" t="s">
        <v>296</v>
      </c>
      <c r="H15" s="18">
        <v>14646</v>
      </c>
      <c r="I15" s="17" t="s">
        <v>297</v>
      </c>
      <c r="J15" s="18">
        <v>14203.005000000001</v>
      </c>
      <c r="K15" s="17" t="s">
        <v>298</v>
      </c>
      <c r="L15" s="18">
        <v>14244</v>
      </c>
      <c r="M15" s="17" t="s">
        <v>299</v>
      </c>
      <c r="N15" s="18">
        <v>14493.005000000001</v>
      </c>
      <c r="O15" s="17" t="s">
        <v>300</v>
      </c>
      <c r="P15" s="18">
        <v>14388</v>
      </c>
      <c r="Q15" s="17" t="s">
        <v>301</v>
      </c>
      <c r="R15" s="18">
        <v>14252</v>
      </c>
      <c r="S15" s="17" t="s">
        <v>302</v>
      </c>
      <c r="T15" s="18">
        <v>14221.005000000001</v>
      </c>
      <c r="U15" s="17" t="s">
        <v>303</v>
      </c>
      <c r="V15" s="18">
        <v>14206</v>
      </c>
      <c r="W15" s="17" t="s">
        <v>304</v>
      </c>
      <c r="X15" s="18">
        <v>14343.005000000001</v>
      </c>
    </row>
    <row r="16" spans="1:24" x14ac:dyDescent="0.2">
      <c r="A16" s="17" t="s">
        <v>305</v>
      </c>
      <c r="B16" s="18">
        <v>14119</v>
      </c>
      <c r="C16" s="17" t="s">
        <v>306</v>
      </c>
      <c r="D16" s="18">
        <v>14011</v>
      </c>
      <c r="E16" s="17">
        <v>44271</v>
      </c>
      <c r="F16" s="18">
        <v>14424</v>
      </c>
      <c r="G16" s="17" t="s">
        <v>307</v>
      </c>
      <c r="H16" s="18">
        <v>14633.005000000001</v>
      </c>
      <c r="I16" s="17" t="s">
        <v>308</v>
      </c>
      <c r="J16" s="18">
        <v>14198</v>
      </c>
      <c r="K16" s="17" t="s">
        <v>309</v>
      </c>
      <c r="L16" s="18">
        <v>14222</v>
      </c>
      <c r="M16" s="17" t="s">
        <v>310</v>
      </c>
      <c r="N16" s="18">
        <v>14486</v>
      </c>
      <c r="O16" s="17" t="s">
        <v>311</v>
      </c>
      <c r="P16" s="18">
        <v>14389.005000000001</v>
      </c>
      <c r="Q16" s="17" t="s">
        <v>312</v>
      </c>
      <c r="R16" s="18">
        <v>14257.005000000001</v>
      </c>
      <c r="S16" s="17" t="s">
        <v>313</v>
      </c>
      <c r="T16" s="18">
        <v>14217.005000000001</v>
      </c>
      <c r="U16" s="17" t="s">
        <v>314</v>
      </c>
      <c r="V16" s="18">
        <v>14243.005000000001</v>
      </c>
      <c r="W16" s="17" t="s">
        <v>315</v>
      </c>
      <c r="X16" s="18">
        <v>14337.005000000001</v>
      </c>
    </row>
    <row r="17" spans="1:38" x14ac:dyDescent="0.2">
      <c r="A17" s="17" t="s">
        <v>316</v>
      </c>
      <c r="B17" s="18">
        <v>14109</v>
      </c>
      <c r="C17" s="17" t="s">
        <v>317</v>
      </c>
      <c r="D17" s="18">
        <v>13989</v>
      </c>
      <c r="E17" s="17">
        <v>44270</v>
      </c>
      <c r="F17" s="18">
        <v>14418</v>
      </c>
      <c r="G17" s="17" t="s">
        <v>318</v>
      </c>
      <c r="H17" s="18">
        <v>14648</v>
      </c>
      <c r="I17" s="17" t="s">
        <v>319</v>
      </c>
      <c r="J17" s="18">
        <v>14198</v>
      </c>
      <c r="K17" s="17" t="s">
        <v>320</v>
      </c>
      <c r="L17" s="18">
        <v>14206</v>
      </c>
      <c r="M17" s="17" t="s">
        <v>321</v>
      </c>
      <c r="N17" s="18">
        <v>14486</v>
      </c>
      <c r="O17" s="17">
        <v>44538</v>
      </c>
      <c r="P17" s="18">
        <v>14397.005000000001</v>
      </c>
      <c r="Q17" s="17" t="s">
        <v>322</v>
      </c>
      <c r="R17" s="18">
        <v>14260</v>
      </c>
      <c r="S17" s="17">
        <v>44540</v>
      </c>
      <c r="T17" s="18">
        <v>14210</v>
      </c>
      <c r="U17" s="17">
        <v>44541</v>
      </c>
      <c r="V17" s="18">
        <v>14288</v>
      </c>
      <c r="W17" s="17" t="s">
        <v>323</v>
      </c>
      <c r="X17" s="18">
        <v>14348</v>
      </c>
    </row>
    <row r="18" spans="1:38" x14ac:dyDescent="0.2">
      <c r="A18" s="17" t="s">
        <v>324</v>
      </c>
      <c r="B18" s="18">
        <v>14231</v>
      </c>
      <c r="C18" s="17" t="s">
        <v>325</v>
      </c>
      <c r="D18" s="18">
        <v>14000</v>
      </c>
      <c r="E18" s="17">
        <v>44267</v>
      </c>
      <c r="F18" s="18">
        <v>14371.005000000001</v>
      </c>
      <c r="G18" s="17" t="s">
        <v>326</v>
      </c>
      <c r="H18" s="18">
        <v>14631.005000000001</v>
      </c>
      <c r="I18" s="17">
        <v>44535</v>
      </c>
      <c r="J18" s="18">
        <v>14198</v>
      </c>
      <c r="K18" s="17">
        <v>44506</v>
      </c>
      <c r="L18" s="18">
        <v>14240</v>
      </c>
      <c r="M18" s="17">
        <v>44537</v>
      </c>
      <c r="N18" s="18">
        <v>14548</v>
      </c>
      <c r="O18" s="17">
        <v>44477</v>
      </c>
      <c r="P18" s="18">
        <v>14378</v>
      </c>
      <c r="Q18" s="17" t="s">
        <v>327</v>
      </c>
      <c r="R18" s="18">
        <v>14225.004999999999</v>
      </c>
      <c r="S18" s="17">
        <v>44510</v>
      </c>
      <c r="T18" s="18">
        <v>14225.004999999999</v>
      </c>
      <c r="U18" s="17">
        <v>44511</v>
      </c>
      <c r="V18" s="18">
        <v>14253.005000000001</v>
      </c>
      <c r="W18" s="17" t="s">
        <v>328</v>
      </c>
      <c r="X18" s="18">
        <v>14346</v>
      </c>
    </row>
    <row r="19" spans="1:38" x14ac:dyDescent="0.2">
      <c r="A19" s="17" t="s">
        <v>329</v>
      </c>
      <c r="B19" s="18">
        <v>14155</v>
      </c>
      <c r="C19" s="17" t="s">
        <v>330</v>
      </c>
      <c r="D19" s="18">
        <v>14000</v>
      </c>
      <c r="E19" s="17">
        <v>44266</v>
      </c>
      <c r="F19" s="18">
        <v>14421.005000000001</v>
      </c>
      <c r="G19" s="17">
        <v>44534</v>
      </c>
      <c r="H19" s="18">
        <v>14580</v>
      </c>
      <c r="I19" s="17">
        <v>44505</v>
      </c>
      <c r="J19" s="18">
        <v>14198</v>
      </c>
      <c r="K19" s="17">
        <v>44475</v>
      </c>
      <c r="L19" s="18">
        <v>14262</v>
      </c>
      <c r="M19" s="17">
        <v>44446</v>
      </c>
      <c r="N19" s="18">
        <v>14548</v>
      </c>
      <c r="O19" s="17">
        <v>44447</v>
      </c>
      <c r="P19" s="18">
        <v>14369.005000000001</v>
      </c>
      <c r="Q19" s="17">
        <v>44478</v>
      </c>
      <c r="R19" s="18">
        <v>14272</v>
      </c>
      <c r="S19" s="17">
        <v>44418</v>
      </c>
      <c r="T19" s="18">
        <v>14238</v>
      </c>
      <c r="U19" s="17">
        <v>44480</v>
      </c>
      <c r="V19" s="18">
        <v>14233.005000000001</v>
      </c>
      <c r="W19" s="17" t="s">
        <v>331</v>
      </c>
      <c r="X19" s="18">
        <v>14378</v>
      </c>
    </row>
    <row r="20" spans="1:38" x14ac:dyDescent="0.2">
      <c r="A20" s="17" t="s">
        <v>332</v>
      </c>
      <c r="B20" s="18">
        <v>14058</v>
      </c>
      <c r="C20" s="17" t="s">
        <v>333</v>
      </c>
      <c r="D20" s="18">
        <v>14062</v>
      </c>
      <c r="E20" s="17">
        <v>44265</v>
      </c>
      <c r="F20" s="18">
        <v>14421.005000000001</v>
      </c>
      <c r="G20" s="17">
        <v>44443</v>
      </c>
      <c r="H20" s="18">
        <v>14580</v>
      </c>
      <c r="I20" s="17">
        <v>44474</v>
      </c>
      <c r="J20" s="18">
        <v>14289.005000000001</v>
      </c>
      <c r="K20" s="17">
        <v>44445</v>
      </c>
      <c r="L20" s="18">
        <v>14262</v>
      </c>
      <c r="M20" s="17">
        <v>44415</v>
      </c>
      <c r="N20" s="18">
        <v>14500</v>
      </c>
      <c r="O20" s="17">
        <v>44355</v>
      </c>
      <c r="P20" s="18">
        <v>14342</v>
      </c>
      <c r="Q20" s="17">
        <v>44448</v>
      </c>
      <c r="R20" s="18">
        <v>14266</v>
      </c>
      <c r="S20" s="17">
        <v>44387</v>
      </c>
      <c r="T20" s="18">
        <v>14245.005000000001</v>
      </c>
      <c r="U20" s="17">
        <v>44450</v>
      </c>
      <c r="V20" s="18">
        <v>14268</v>
      </c>
      <c r="W20" s="17">
        <v>44481</v>
      </c>
      <c r="X20" s="18">
        <v>14351.005000000001</v>
      </c>
    </row>
    <row r="21" spans="1:38" x14ac:dyDescent="0.2">
      <c r="A21" s="17" t="s">
        <v>334</v>
      </c>
      <c r="B21" s="18">
        <v>13938</v>
      </c>
      <c r="C21" s="17" t="s">
        <v>335</v>
      </c>
      <c r="D21" s="18">
        <v>14036</v>
      </c>
      <c r="E21" s="17">
        <v>44264</v>
      </c>
      <c r="F21" s="18">
        <v>14468</v>
      </c>
      <c r="G21" s="17">
        <v>44412</v>
      </c>
      <c r="H21" s="18">
        <v>14513.005000000001</v>
      </c>
      <c r="I21" s="17">
        <v>44382</v>
      </c>
      <c r="J21" s="18">
        <v>14364</v>
      </c>
      <c r="K21" s="17">
        <v>44414</v>
      </c>
      <c r="L21" s="18">
        <v>14271.005000000001</v>
      </c>
      <c r="M21" s="17">
        <v>44384</v>
      </c>
      <c r="N21" s="18">
        <v>14468</v>
      </c>
      <c r="O21" s="17">
        <v>44324</v>
      </c>
      <c r="P21" s="18">
        <v>14324</v>
      </c>
      <c r="Q21" s="17">
        <v>44417</v>
      </c>
      <c r="R21" s="18">
        <v>14195.005000000001</v>
      </c>
      <c r="S21" s="17">
        <v>44357</v>
      </c>
      <c r="T21" s="18">
        <v>14260</v>
      </c>
      <c r="U21" s="17">
        <v>44419</v>
      </c>
      <c r="V21" s="18">
        <v>14374</v>
      </c>
      <c r="W21" s="17">
        <v>44451</v>
      </c>
      <c r="X21" s="18">
        <v>14348</v>
      </c>
    </row>
    <row r="22" spans="1:38" x14ac:dyDescent="0.2">
      <c r="A22" s="17" t="s">
        <v>336</v>
      </c>
      <c r="B22" s="18">
        <v>13926</v>
      </c>
      <c r="C22" s="17" t="s">
        <v>337</v>
      </c>
      <c r="D22" s="18">
        <v>14017</v>
      </c>
      <c r="E22" s="17">
        <v>44263</v>
      </c>
      <c r="F22" s="18">
        <v>14390</v>
      </c>
      <c r="G22" s="17">
        <v>44381</v>
      </c>
      <c r="H22" s="18">
        <v>14519.005000000001</v>
      </c>
      <c r="I22" s="17">
        <v>44352</v>
      </c>
      <c r="J22" s="18">
        <v>14439.005000000001</v>
      </c>
      <c r="K22" s="17">
        <v>44383</v>
      </c>
      <c r="L22" s="18">
        <v>14316</v>
      </c>
      <c r="M22" s="17">
        <v>44354</v>
      </c>
      <c r="N22" s="18">
        <v>14482</v>
      </c>
      <c r="O22" s="17">
        <v>44294</v>
      </c>
      <c r="P22" s="18">
        <v>14362</v>
      </c>
      <c r="Q22" s="17">
        <v>44386</v>
      </c>
      <c r="R22" s="18">
        <v>14239.005000000001</v>
      </c>
      <c r="S22" s="17">
        <v>44326</v>
      </c>
      <c r="T22" s="18">
        <v>14276</v>
      </c>
      <c r="U22" s="17">
        <v>44327</v>
      </c>
      <c r="V22" s="18">
        <v>14327.005000000001</v>
      </c>
      <c r="W22" s="17">
        <v>44420</v>
      </c>
      <c r="X22" s="18">
        <v>14408</v>
      </c>
    </row>
    <row r="23" spans="1:38" x14ac:dyDescent="0.2">
      <c r="A23" s="17" t="s">
        <v>338</v>
      </c>
      <c r="B23" s="18">
        <v>13945</v>
      </c>
      <c r="C23" s="17" t="s">
        <v>339</v>
      </c>
      <c r="D23" s="18">
        <v>14044</v>
      </c>
      <c r="E23" s="17">
        <v>44260</v>
      </c>
      <c r="F23" s="18">
        <v>14371.005000000001</v>
      </c>
      <c r="G23" s="17">
        <v>44351</v>
      </c>
      <c r="H23" s="18">
        <v>14533.005000000001</v>
      </c>
      <c r="I23" s="17">
        <v>44321</v>
      </c>
      <c r="J23" s="18">
        <v>14431.005000000001</v>
      </c>
      <c r="K23" s="17">
        <v>44292</v>
      </c>
      <c r="L23" s="18">
        <v>14297.005000000001</v>
      </c>
      <c r="M23" s="17">
        <v>44323</v>
      </c>
      <c r="N23" s="18">
        <v>14564</v>
      </c>
      <c r="O23" s="17">
        <v>44263</v>
      </c>
      <c r="P23" s="18">
        <v>14456</v>
      </c>
      <c r="Q23" s="17">
        <v>44356</v>
      </c>
      <c r="R23" s="18">
        <v>14261.005000000001</v>
      </c>
      <c r="S23" s="17">
        <v>44296</v>
      </c>
      <c r="T23" s="18">
        <v>14315.005000000001</v>
      </c>
      <c r="U23" s="17">
        <v>44297</v>
      </c>
      <c r="V23" s="18">
        <v>14301.005000000001</v>
      </c>
      <c r="W23" s="17">
        <v>44389</v>
      </c>
      <c r="X23" s="18">
        <v>14441.004999999999</v>
      </c>
    </row>
    <row r="24" spans="1:38" x14ac:dyDescent="0.2">
      <c r="A24" s="17" t="s">
        <v>340</v>
      </c>
      <c r="B24" s="18">
        <v>13903</v>
      </c>
      <c r="C24" s="17">
        <v>44228</v>
      </c>
      <c r="D24" s="18">
        <v>14042</v>
      </c>
      <c r="E24" s="17">
        <v>44259</v>
      </c>
      <c r="F24" s="18">
        <v>14299.005000000001</v>
      </c>
      <c r="G24" s="17">
        <v>44320</v>
      </c>
      <c r="H24" s="18">
        <v>14584</v>
      </c>
      <c r="I24" s="17">
        <v>44291</v>
      </c>
      <c r="J24" s="18">
        <v>14467.005000000001</v>
      </c>
      <c r="K24" s="17">
        <v>44261</v>
      </c>
      <c r="L24" s="18">
        <v>14276</v>
      </c>
      <c r="M24" s="17">
        <v>44234</v>
      </c>
      <c r="N24" s="18">
        <v>14539.005000000001</v>
      </c>
      <c r="O24" s="17">
        <v>44235</v>
      </c>
      <c r="P24" s="18">
        <v>14462</v>
      </c>
      <c r="Q24" s="17">
        <v>44264</v>
      </c>
      <c r="R24" s="18">
        <v>14281.005000000001</v>
      </c>
      <c r="S24" s="17">
        <v>44206</v>
      </c>
      <c r="T24" s="18">
        <v>14321.005000000001</v>
      </c>
      <c r="U24" s="17">
        <v>44266</v>
      </c>
      <c r="V24" s="18">
        <v>14261.005000000001</v>
      </c>
      <c r="W24" s="17">
        <v>44359</v>
      </c>
      <c r="X24" s="18">
        <v>14408</v>
      </c>
    </row>
    <row r="25" spans="1:38" x14ac:dyDescent="0.2">
      <c r="A25" s="17"/>
      <c r="B25" s="18"/>
      <c r="C25" s="19"/>
      <c r="D25" s="18"/>
      <c r="E25" s="17">
        <v>44258</v>
      </c>
      <c r="F25" s="18">
        <v>14334</v>
      </c>
      <c r="G25" s="17">
        <v>44231</v>
      </c>
      <c r="H25" s="18">
        <v>14577.005000000001</v>
      </c>
      <c r="I25" s="17">
        <v>44260</v>
      </c>
      <c r="J25" s="18">
        <v>14453.005000000001</v>
      </c>
      <c r="K25" s="17">
        <v>44233</v>
      </c>
      <c r="L25" s="18">
        <v>14292</v>
      </c>
      <c r="M25" s="17">
        <v>44203</v>
      </c>
      <c r="N25" s="18">
        <v>14542</v>
      </c>
      <c r="O25" s="19"/>
      <c r="P25" s="18"/>
      <c r="Q25" s="17">
        <v>44236</v>
      </c>
      <c r="R25" s="18">
        <v>14284</v>
      </c>
      <c r="S25" s="19"/>
      <c r="T25" s="18"/>
      <c r="U25" s="17">
        <v>44238</v>
      </c>
      <c r="V25" s="18">
        <v>14235.005000000001</v>
      </c>
      <c r="W25" s="17">
        <v>44267</v>
      </c>
      <c r="X25" s="18">
        <v>14378</v>
      </c>
    </row>
    <row r="26" spans="1:38" x14ac:dyDescent="0.2">
      <c r="A26" s="17"/>
      <c r="B26" s="18"/>
      <c r="C26" s="19"/>
      <c r="D26" s="18"/>
      <c r="E26" s="17">
        <v>44257</v>
      </c>
      <c r="F26" s="18">
        <v>14307.005000000001</v>
      </c>
      <c r="G26" s="17">
        <v>44200</v>
      </c>
      <c r="H26" s="18">
        <v>14577.005000000001</v>
      </c>
      <c r="I26" s="19"/>
      <c r="J26" s="18"/>
      <c r="K26" s="17">
        <v>44202</v>
      </c>
      <c r="L26" s="18">
        <v>14310</v>
      </c>
      <c r="M26" s="19"/>
      <c r="N26" s="18"/>
      <c r="O26" s="19"/>
      <c r="P26" s="18"/>
      <c r="Q26" s="17">
        <v>44205</v>
      </c>
      <c r="R26" s="18">
        <v>14306</v>
      </c>
      <c r="S26" s="19"/>
      <c r="T26" s="18"/>
      <c r="U26" s="17">
        <v>44207</v>
      </c>
      <c r="V26" s="18">
        <v>14171.005000000001</v>
      </c>
      <c r="W26" s="17">
        <v>44532</v>
      </c>
      <c r="X26" s="18">
        <v>14353.005000000001</v>
      </c>
    </row>
    <row r="27" spans="1:38" x14ac:dyDescent="0.2">
      <c r="A27" s="17"/>
      <c r="B27" s="18"/>
      <c r="C27" s="19"/>
      <c r="D27" s="18"/>
      <c r="E27" s="17">
        <v>44256</v>
      </c>
      <c r="F27" s="18">
        <v>14300</v>
      </c>
      <c r="G27" s="19"/>
      <c r="H27" s="18"/>
      <c r="I27" s="19"/>
      <c r="J27" s="18"/>
      <c r="K27" s="19"/>
      <c r="L27" s="18"/>
      <c r="M27" s="19"/>
      <c r="N27" s="18"/>
      <c r="O27" s="19"/>
      <c r="P27" s="18"/>
      <c r="Q27" s="19"/>
      <c r="R27" s="18"/>
      <c r="S27" s="19"/>
      <c r="T27" s="18"/>
      <c r="U27" s="19"/>
      <c r="V27" s="18"/>
      <c r="W27" s="17">
        <v>44531</v>
      </c>
      <c r="X27" s="18">
        <v>14320</v>
      </c>
    </row>
    <row r="28" spans="1:38" x14ac:dyDescent="0.2">
      <c r="A28" s="15"/>
      <c r="B28" s="20">
        <f>AVERAGE(B5:B27)</f>
        <v>14061.9</v>
      </c>
      <c r="C28" s="15"/>
      <c r="D28" s="20">
        <f>AVERAGE(D5:D27)</f>
        <v>14042.1</v>
      </c>
      <c r="E28" s="15"/>
      <c r="F28" s="20">
        <f>AVERAGE(F5:F27)</f>
        <v>14417.393478260872</v>
      </c>
      <c r="G28" s="15"/>
      <c r="H28" s="20">
        <f>AVERAGE(H5:H27)</f>
        <v>14558.184090909093</v>
      </c>
      <c r="I28" s="15"/>
      <c r="J28" s="20">
        <f>AVERAGE(J5:J27)</f>
        <v>14323.192619047621</v>
      </c>
      <c r="K28" s="15"/>
      <c r="L28" s="20">
        <f>AVERAGE(L5:L27)</f>
        <v>14338.228863636365</v>
      </c>
      <c r="M28" s="15"/>
      <c r="N28" s="20">
        <f>AVERAGE(N5:N27)</f>
        <v>14511.192142857144</v>
      </c>
      <c r="O28" s="15"/>
      <c r="P28" s="20">
        <f>AVERAGE(P5:P27)</f>
        <v>14397.702000000001</v>
      </c>
      <c r="Q28" s="15"/>
      <c r="R28" s="20">
        <f>AVERAGE(R5:R27)</f>
        <v>14256.957045454548</v>
      </c>
      <c r="S28" s="15"/>
      <c r="T28" s="20">
        <f>AVERAGE(T5:T27)</f>
        <v>14198.45275</v>
      </c>
      <c r="U28" s="15"/>
      <c r="V28" s="20">
        <f>AVERAGE(V5:V27)</f>
        <v>14263.502954545458</v>
      </c>
      <c r="W28" s="15"/>
      <c r="X28" s="20">
        <f>AVERAGE(X5:X27)</f>
        <v>14328.915869565217</v>
      </c>
      <c r="AA28">
        <v>14061.9</v>
      </c>
      <c r="AB28">
        <v>14042.1</v>
      </c>
      <c r="AC28">
        <v>14417.393478260872</v>
      </c>
      <c r="AD28">
        <v>14558.184090909093</v>
      </c>
      <c r="AE28">
        <v>14323.192619047621</v>
      </c>
      <c r="AF28">
        <v>14338.228863636365</v>
      </c>
      <c r="AG28">
        <v>14511.192142857144</v>
      </c>
      <c r="AH28">
        <v>14397.702000000001</v>
      </c>
      <c r="AI28">
        <v>14256.957045454548</v>
      </c>
      <c r="AJ28">
        <v>14198.45275</v>
      </c>
      <c r="AK28">
        <v>14263.502954545458</v>
      </c>
      <c r="AL28">
        <v>14328.915869565217</v>
      </c>
    </row>
    <row r="29" spans="1:38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38" x14ac:dyDescent="0.2">
      <c r="A30" s="21" t="s">
        <v>341</v>
      </c>
      <c r="B30" s="22"/>
      <c r="C30" s="23">
        <f>AVERAGE(B28:X28)</f>
        <v>14308.143484523027</v>
      </c>
      <c r="D30" s="2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2" spans="1:38" x14ac:dyDescent="0.2">
      <c r="A32" s="8">
        <v>2020</v>
      </c>
    </row>
    <row r="33" spans="1:38" x14ac:dyDescent="0.2">
      <c r="A33" s="73" t="s">
        <v>91</v>
      </c>
      <c r="B33" s="74"/>
      <c r="C33" s="73" t="s">
        <v>92</v>
      </c>
      <c r="D33" s="74"/>
      <c r="E33" s="73" t="s">
        <v>93</v>
      </c>
      <c r="F33" s="74"/>
      <c r="G33" s="73" t="s">
        <v>94</v>
      </c>
      <c r="H33" s="74"/>
      <c r="I33" s="73" t="s">
        <v>95</v>
      </c>
      <c r="J33" s="74"/>
      <c r="K33" s="73" t="s">
        <v>96</v>
      </c>
      <c r="L33" s="74"/>
      <c r="M33" s="73" t="s">
        <v>97</v>
      </c>
      <c r="N33" s="74"/>
      <c r="O33" s="73" t="s">
        <v>98</v>
      </c>
      <c r="P33" s="74"/>
      <c r="Q33" s="73" t="s">
        <v>99</v>
      </c>
      <c r="R33" s="74"/>
      <c r="S33" s="73" t="s">
        <v>100</v>
      </c>
      <c r="T33" s="74"/>
      <c r="U33" s="73" t="s">
        <v>101</v>
      </c>
      <c r="V33" s="74"/>
      <c r="W33" s="73" t="s">
        <v>102</v>
      </c>
      <c r="X33" s="74"/>
      <c r="AA33">
        <v>13732.228409090911</v>
      </c>
      <c r="AB33">
        <v>13776.152750000003</v>
      </c>
      <c r="AC33">
        <v>15194.573809523812</v>
      </c>
      <c r="AD33">
        <v>15867.431904761908</v>
      </c>
      <c r="AE33">
        <v>14906.190937500003</v>
      </c>
      <c r="AF33">
        <v>14195.955000000002</v>
      </c>
      <c r="AG33">
        <v>14582.411136363638</v>
      </c>
      <c r="AH33">
        <v>14724.502500000002</v>
      </c>
      <c r="AI33">
        <v>14847.956590909092</v>
      </c>
      <c r="AJ33">
        <v>14749.137954545457</v>
      </c>
      <c r="AK33">
        <v>14236.812142857145</v>
      </c>
      <c r="AL33">
        <v>14173.088478260872</v>
      </c>
    </row>
    <row r="34" spans="1:38" x14ac:dyDescent="0.2">
      <c r="A34" s="16" t="s">
        <v>186</v>
      </c>
      <c r="B34" s="16" t="s">
        <v>187</v>
      </c>
      <c r="C34" s="16" t="s">
        <v>186</v>
      </c>
      <c r="D34" s="16" t="s">
        <v>187</v>
      </c>
      <c r="E34" s="16" t="s">
        <v>186</v>
      </c>
      <c r="F34" s="16" t="s">
        <v>187</v>
      </c>
      <c r="G34" s="16" t="s">
        <v>186</v>
      </c>
      <c r="H34" s="16" t="s">
        <v>187</v>
      </c>
      <c r="I34" s="16" t="s">
        <v>186</v>
      </c>
      <c r="J34" s="16" t="s">
        <v>187</v>
      </c>
      <c r="K34" s="16" t="s">
        <v>186</v>
      </c>
      <c r="L34" s="16" t="s">
        <v>187</v>
      </c>
      <c r="M34" s="16" t="s">
        <v>186</v>
      </c>
      <c r="N34" s="16" t="s">
        <v>187</v>
      </c>
      <c r="O34" s="16" t="s">
        <v>186</v>
      </c>
      <c r="P34" s="16" t="s">
        <v>187</v>
      </c>
      <c r="Q34" s="16" t="s">
        <v>186</v>
      </c>
      <c r="R34" s="16" t="s">
        <v>187</v>
      </c>
      <c r="S34" s="16" t="s">
        <v>186</v>
      </c>
      <c r="T34" s="16" t="s">
        <v>187</v>
      </c>
      <c r="U34" s="16" t="s">
        <v>186</v>
      </c>
      <c r="V34" s="16" t="s">
        <v>187</v>
      </c>
      <c r="W34" s="16" t="s">
        <v>186</v>
      </c>
      <c r="X34" s="16" t="s">
        <v>187</v>
      </c>
    </row>
    <row r="35" spans="1:38" x14ac:dyDescent="0.2">
      <c r="A35" s="17" t="s">
        <v>506</v>
      </c>
      <c r="B35" s="18">
        <v>13662</v>
      </c>
      <c r="C35" s="17" t="s">
        <v>486</v>
      </c>
      <c r="D35" s="18">
        <v>14234</v>
      </c>
      <c r="E35" s="17" t="s">
        <v>465</v>
      </c>
      <c r="F35" s="18">
        <v>16367.005000000001</v>
      </c>
      <c r="G35" s="17">
        <v>43951</v>
      </c>
      <c r="H35" s="18">
        <v>15157.005000000001</v>
      </c>
      <c r="I35" s="17" t="s">
        <v>449</v>
      </c>
      <c r="J35" s="18">
        <v>14733.005000000001</v>
      </c>
      <c r="K35" s="17" t="s">
        <v>428</v>
      </c>
      <c r="L35" s="18">
        <v>14302</v>
      </c>
      <c r="M35" s="17" t="s">
        <v>406</v>
      </c>
      <c r="N35" s="18">
        <v>14653.005000000001</v>
      </c>
      <c r="O35" s="17" t="s">
        <v>388</v>
      </c>
      <c r="P35" s="18">
        <v>14554</v>
      </c>
      <c r="Q35" s="17">
        <v>44104</v>
      </c>
      <c r="R35" s="18">
        <v>14918</v>
      </c>
      <c r="S35" s="17" t="s">
        <v>366</v>
      </c>
      <c r="T35" s="18">
        <v>14690</v>
      </c>
      <c r="U35" s="17">
        <v>44165</v>
      </c>
      <c r="V35" s="18">
        <v>14128</v>
      </c>
      <c r="W35" s="17" t="s">
        <v>343</v>
      </c>
      <c r="X35" s="18">
        <v>14105.005000000001</v>
      </c>
    </row>
    <row r="36" spans="1:38" x14ac:dyDescent="0.2">
      <c r="A36" s="17" t="s">
        <v>507</v>
      </c>
      <c r="B36" s="18">
        <v>13652</v>
      </c>
      <c r="C36" s="17" t="s">
        <v>487</v>
      </c>
      <c r="D36" s="18">
        <v>14018</v>
      </c>
      <c r="E36" s="17" t="s">
        <v>466</v>
      </c>
      <c r="F36" s="18">
        <v>16336</v>
      </c>
      <c r="G36" s="17">
        <v>43950</v>
      </c>
      <c r="H36" s="18">
        <v>15415.005000000001</v>
      </c>
      <c r="I36" s="17" t="s">
        <v>450</v>
      </c>
      <c r="J36" s="18">
        <v>14769.005000000001</v>
      </c>
      <c r="K36" s="17" t="s">
        <v>429</v>
      </c>
      <c r="L36" s="18">
        <v>14369.005000000001</v>
      </c>
      <c r="M36" s="17" t="s">
        <v>407</v>
      </c>
      <c r="N36" s="18">
        <v>14570</v>
      </c>
      <c r="O36" s="17" t="s">
        <v>389</v>
      </c>
      <c r="P36" s="18">
        <v>14702</v>
      </c>
      <c r="Q36" s="17">
        <v>44103</v>
      </c>
      <c r="R36" s="18">
        <v>14920</v>
      </c>
      <c r="S36" s="17" t="s">
        <v>367</v>
      </c>
      <c r="T36" s="18">
        <v>14690</v>
      </c>
      <c r="U36" s="17">
        <v>44162</v>
      </c>
      <c r="V36" s="18">
        <v>14145.005000000001</v>
      </c>
      <c r="W36" s="17" t="s">
        <v>344</v>
      </c>
      <c r="X36" s="18">
        <v>14105.005000000001</v>
      </c>
    </row>
    <row r="37" spans="1:38" x14ac:dyDescent="0.2">
      <c r="A37" s="17" t="s">
        <v>508</v>
      </c>
      <c r="B37" s="18">
        <v>13634</v>
      </c>
      <c r="C37" s="17" t="s">
        <v>488</v>
      </c>
      <c r="D37" s="18">
        <v>13966</v>
      </c>
      <c r="E37" s="17" t="s">
        <v>467</v>
      </c>
      <c r="F37" s="18">
        <v>16230</v>
      </c>
      <c r="G37" s="17">
        <v>43949</v>
      </c>
      <c r="H37" s="18">
        <v>15488</v>
      </c>
      <c r="I37" s="17" t="s">
        <v>451</v>
      </c>
      <c r="J37" s="18">
        <v>14761.005000000001</v>
      </c>
      <c r="K37" s="17" t="s">
        <v>430</v>
      </c>
      <c r="L37" s="18">
        <v>14239.005000000001</v>
      </c>
      <c r="M37" s="17" t="s">
        <v>408</v>
      </c>
      <c r="N37" s="18">
        <v>14543.005000000001</v>
      </c>
      <c r="O37" s="17" t="s">
        <v>390</v>
      </c>
      <c r="P37" s="18">
        <v>14714</v>
      </c>
      <c r="Q37" s="17">
        <v>44102</v>
      </c>
      <c r="R37" s="18">
        <v>14959.004999999999</v>
      </c>
      <c r="S37" s="17" t="s">
        <v>368</v>
      </c>
      <c r="T37" s="18">
        <v>14690</v>
      </c>
      <c r="U37" s="17">
        <v>44161</v>
      </c>
      <c r="V37" s="18">
        <v>14130</v>
      </c>
      <c r="W37" s="17" t="s">
        <v>345</v>
      </c>
      <c r="X37" s="18">
        <v>14169.005000000001</v>
      </c>
    </row>
    <row r="38" spans="1:38" x14ac:dyDescent="0.2">
      <c r="A38" s="17" t="s">
        <v>509</v>
      </c>
      <c r="B38" s="18">
        <v>13647.005000000001</v>
      </c>
      <c r="C38" s="17" t="s">
        <v>489</v>
      </c>
      <c r="D38" s="18">
        <v>13893.005000000001</v>
      </c>
      <c r="E38" s="17" t="s">
        <v>468</v>
      </c>
      <c r="F38" s="18">
        <v>16328</v>
      </c>
      <c r="G38" s="17">
        <v>43948</v>
      </c>
      <c r="H38" s="18">
        <v>15591.004999999999</v>
      </c>
      <c r="I38" s="17" t="s">
        <v>452</v>
      </c>
      <c r="J38" s="18">
        <v>14774</v>
      </c>
      <c r="K38" s="17" t="s">
        <v>431</v>
      </c>
      <c r="L38" s="18">
        <v>14231.005000000001</v>
      </c>
      <c r="M38" s="17" t="s">
        <v>409</v>
      </c>
      <c r="N38" s="18">
        <v>14605.005000000001</v>
      </c>
      <c r="O38" s="17" t="s">
        <v>391</v>
      </c>
      <c r="P38" s="18">
        <v>14636</v>
      </c>
      <c r="Q38" s="17">
        <v>44099</v>
      </c>
      <c r="R38" s="18">
        <v>14951.005000000001</v>
      </c>
      <c r="S38" s="17" t="s">
        <v>369</v>
      </c>
      <c r="T38" s="18">
        <v>14690</v>
      </c>
      <c r="U38" s="17">
        <v>44160</v>
      </c>
      <c r="V38" s="18">
        <v>14169.005000000001</v>
      </c>
      <c r="W38" s="17" t="s">
        <v>346</v>
      </c>
      <c r="X38" s="18">
        <v>14184</v>
      </c>
    </row>
    <row r="39" spans="1:38" x14ac:dyDescent="0.2">
      <c r="A39" s="17" t="s">
        <v>510</v>
      </c>
      <c r="B39" s="18">
        <v>13612</v>
      </c>
      <c r="C39" s="17" t="s">
        <v>490</v>
      </c>
      <c r="D39" s="18">
        <v>13863.005000000001</v>
      </c>
      <c r="E39" s="17" t="s">
        <v>469</v>
      </c>
      <c r="F39" s="18">
        <v>16486</v>
      </c>
      <c r="G39" s="17">
        <v>43945</v>
      </c>
      <c r="H39" s="18">
        <v>15553.005000000001</v>
      </c>
      <c r="I39" s="17" t="s">
        <v>453</v>
      </c>
      <c r="J39" s="18">
        <v>14785.005000000001</v>
      </c>
      <c r="K39" s="17" t="s">
        <v>432</v>
      </c>
      <c r="L39" s="18">
        <v>14160</v>
      </c>
      <c r="M39" s="17" t="s">
        <v>410</v>
      </c>
      <c r="N39" s="18">
        <v>14614</v>
      </c>
      <c r="O39" s="17" t="s">
        <v>392</v>
      </c>
      <c r="P39" s="18">
        <v>14632</v>
      </c>
      <c r="Q39" s="17">
        <v>44098</v>
      </c>
      <c r="R39" s="18">
        <v>14949.005000000001</v>
      </c>
      <c r="S39" s="17" t="s">
        <v>370</v>
      </c>
      <c r="T39" s="18">
        <v>14697.005000000001</v>
      </c>
      <c r="U39" s="17">
        <v>44159</v>
      </c>
      <c r="V39" s="18">
        <v>14196</v>
      </c>
      <c r="W39" s="17" t="s">
        <v>347</v>
      </c>
      <c r="X39" s="18">
        <v>14282</v>
      </c>
    </row>
    <row r="40" spans="1:38" x14ac:dyDescent="0.2">
      <c r="A40" s="17" t="s">
        <v>511</v>
      </c>
      <c r="B40" s="18">
        <v>13632</v>
      </c>
      <c r="C40" s="17" t="s">
        <v>491</v>
      </c>
      <c r="D40" s="18">
        <v>13777.005000000001</v>
      </c>
      <c r="E40" s="17" t="s">
        <v>470</v>
      </c>
      <c r="F40" s="18">
        <v>16608</v>
      </c>
      <c r="G40" s="17">
        <v>43944</v>
      </c>
      <c r="H40" s="18">
        <v>15630</v>
      </c>
      <c r="I40" s="17" t="s">
        <v>454</v>
      </c>
      <c r="J40" s="18">
        <v>14823.005000000001</v>
      </c>
      <c r="K40" s="17" t="s">
        <v>433</v>
      </c>
      <c r="L40" s="18">
        <v>14265.005000000001</v>
      </c>
      <c r="M40" s="17" t="s">
        <v>411</v>
      </c>
      <c r="N40" s="18">
        <v>14669.005000000001</v>
      </c>
      <c r="O40" s="17" t="s">
        <v>393</v>
      </c>
      <c r="P40" s="18">
        <v>14794</v>
      </c>
      <c r="Q40" s="17">
        <v>44097</v>
      </c>
      <c r="R40" s="18">
        <v>14835.005000000001</v>
      </c>
      <c r="S40" s="17" t="s">
        <v>371</v>
      </c>
      <c r="T40" s="18">
        <v>14738</v>
      </c>
      <c r="U40" s="17">
        <v>44158</v>
      </c>
      <c r="V40" s="18">
        <v>14164</v>
      </c>
      <c r="W40" s="17" t="s">
        <v>348</v>
      </c>
      <c r="X40" s="18">
        <v>14282</v>
      </c>
    </row>
    <row r="41" spans="1:38" x14ac:dyDescent="0.2">
      <c r="A41" s="17" t="s">
        <v>512</v>
      </c>
      <c r="B41" s="18">
        <v>13626</v>
      </c>
      <c r="C41" s="17" t="s">
        <v>492</v>
      </c>
      <c r="D41" s="18">
        <v>13735.005000000001</v>
      </c>
      <c r="E41" s="17" t="s">
        <v>471</v>
      </c>
      <c r="F41" s="18">
        <v>16273.005000000001</v>
      </c>
      <c r="G41" s="17">
        <v>43943</v>
      </c>
      <c r="H41" s="18">
        <v>15567.005000000001</v>
      </c>
      <c r="I41" s="17" t="s">
        <v>455</v>
      </c>
      <c r="J41" s="18">
        <v>14885.005000000001</v>
      </c>
      <c r="K41" s="17" t="s">
        <v>434</v>
      </c>
      <c r="L41" s="18">
        <v>14209.004999999999</v>
      </c>
      <c r="M41" s="17" t="s">
        <v>412</v>
      </c>
      <c r="N41" s="18">
        <v>14655.005000000001</v>
      </c>
      <c r="O41" s="17" t="s">
        <v>394</v>
      </c>
      <c r="P41" s="18">
        <v>14786</v>
      </c>
      <c r="Q41" s="17">
        <v>44096</v>
      </c>
      <c r="R41" s="18">
        <v>14782</v>
      </c>
      <c r="S41" s="17" t="s">
        <v>372</v>
      </c>
      <c r="T41" s="18">
        <v>14697.005000000001</v>
      </c>
      <c r="U41" s="17">
        <v>44155</v>
      </c>
      <c r="V41" s="18">
        <v>14228</v>
      </c>
      <c r="W41" s="17" t="s">
        <v>349</v>
      </c>
      <c r="X41" s="18">
        <v>14282</v>
      </c>
    </row>
    <row r="42" spans="1:38" x14ac:dyDescent="0.2">
      <c r="A42" s="17" t="s">
        <v>513</v>
      </c>
      <c r="B42" s="18">
        <v>13678</v>
      </c>
      <c r="C42" s="17" t="s">
        <v>493</v>
      </c>
      <c r="D42" s="18">
        <v>13717.005000000001</v>
      </c>
      <c r="E42" s="17" t="s">
        <v>472</v>
      </c>
      <c r="F42" s="18">
        <v>15712</v>
      </c>
      <c r="G42" s="17">
        <v>43942</v>
      </c>
      <c r="H42" s="18">
        <v>15643.005000000001</v>
      </c>
      <c r="I42" s="17" t="s">
        <v>456</v>
      </c>
      <c r="J42" s="18">
        <v>14909.004999999999</v>
      </c>
      <c r="K42" s="17" t="s">
        <v>435</v>
      </c>
      <c r="L42" s="18">
        <v>14242</v>
      </c>
      <c r="M42" s="17" t="s">
        <v>413</v>
      </c>
      <c r="N42" s="18">
        <v>14813.005000000001</v>
      </c>
      <c r="O42" s="17" t="s">
        <v>395</v>
      </c>
      <c r="P42" s="18">
        <v>14907.005000000001</v>
      </c>
      <c r="Q42" s="17">
        <v>44095</v>
      </c>
      <c r="R42" s="18">
        <v>14723.005000000001</v>
      </c>
      <c r="S42" s="17" t="s">
        <v>373</v>
      </c>
      <c r="T42" s="18">
        <v>14658</v>
      </c>
      <c r="U42" s="17">
        <v>44154</v>
      </c>
      <c r="V42" s="18">
        <v>14167.005000000001</v>
      </c>
      <c r="W42" s="17" t="s">
        <v>350</v>
      </c>
      <c r="X42" s="18">
        <v>14218</v>
      </c>
    </row>
    <row r="43" spans="1:38" x14ac:dyDescent="0.2">
      <c r="A43" s="17" t="s">
        <v>514</v>
      </c>
      <c r="B43" s="18">
        <v>13658</v>
      </c>
      <c r="C43" s="17" t="s">
        <v>494</v>
      </c>
      <c r="D43" s="18">
        <v>13676</v>
      </c>
      <c r="E43" s="17" t="s">
        <v>473</v>
      </c>
      <c r="F43" s="18">
        <v>15223.005000000001</v>
      </c>
      <c r="G43" s="17">
        <v>43941</v>
      </c>
      <c r="H43" s="18">
        <v>15543.005000000001</v>
      </c>
      <c r="I43" s="17" t="s">
        <v>457</v>
      </c>
      <c r="J43" s="18">
        <v>14946</v>
      </c>
      <c r="K43" s="17" t="s">
        <v>436</v>
      </c>
      <c r="L43" s="18">
        <v>14186</v>
      </c>
      <c r="M43" s="17" t="s">
        <v>414</v>
      </c>
      <c r="N43" s="18">
        <v>14832</v>
      </c>
      <c r="O43" s="17" t="s">
        <v>396</v>
      </c>
      <c r="P43" s="18">
        <v>14917.005000000001</v>
      </c>
      <c r="Q43" s="17">
        <v>44092</v>
      </c>
      <c r="R43" s="18">
        <v>14768</v>
      </c>
      <c r="S43" s="17" t="s">
        <v>374</v>
      </c>
      <c r="T43" s="18">
        <v>14729.005000000001</v>
      </c>
      <c r="U43" s="17">
        <v>44153</v>
      </c>
      <c r="V43" s="18">
        <v>14118</v>
      </c>
      <c r="W43" s="17" t="s">
        <v>351</v>
      </c>
      <c r="X43" s="18">
        <v>14180</v>
      </c>
    </row>
    <row r="44" spans="1:38" x14ac:dyDescent="0.2">
      <c r="A44" s="17" t="s">
        <v>515</v>
      </c>
      <c r="B44" s="18">
        <v>13654</v>
      </c>
      <c r="C44" s="17" t="s">
        <v>495</v>
      </c>
      <c r="D44" s="18">
        <v>13693.005000000001</v>
      </c>
      <c r="E44" s="17" t="s">
        <v>474</v>
      </c>
      <c r="F44" s="18">
        <v>15083.005000000001</v>
      </c>
      <c r="G44" s="17">
        <v>43938</v>
      </c>
      <c r="H44" s="18">
        <v>15503.005000000001</v>
      </c>
      <c r="I44" s="17" t="s">
        <v>458</v>
      </c>
      <c r="J44" s="18">
        <v>14887.005000000001</v>
      </c>
      <c r="K44" s="17" t="s">
        <v>437</v>
      </c>
      <c r="L44" s="18">
        <v>14234</v>
      </c>
      <c r="M44" s="17" t="s">
        <v>415</v>
      </c>
      <c r="N44" s="18">
        <v>14780</v>
      </c>
      <c r="O44" s="17" t="s">
        <v>397</v>
      </c>
      <c r="P44" s="18">
        <v>14877.005000000001</v>
      </c>
      <c r="Q44" s="17">
        <v>44091</v>
      </c>
      <c r="R44" s="18">
        <v>14878</v>
      </c>
      <c r="S44" s="17" t="s">
        <v>375</v>
      </c>
      <c r="T44" s="18">
        <v>14741.004999999999</v>
      </c>
      <c r="U44" s="17">
        <v>44152</v>
      </c>
      <c r="V44" s="18">
        <v>14073.005000000001</v>
      </c>
      <c r="W44" s="17" t="s">
        <v>352</v>
      </c>
      <c r="X44" s="18">
        <v>14146</v>
      </c>
    </row>
    <row r="45" spans="1:38" x14ac:dyDescent="0.2">
      <c r="A45" s="17" t="s">
        <v>516</v>
      </c>
      <c r="B45" s="18">
        <v>13648</v>
      </c>
      <c r="C45" s="17" t="s">
        <v>496</v>
      </c>
      <c r="D45" s="18">
        <v>13707.005000000001</v>
      </c>
      <c r="E45" s="17" t="s">
        <v>475</v>
      </c>
      <c r="F45" s="18">
        <v>14818</v>
      </c>
      <c r="G45" s="17">
        <v>43937</v>
      </c>
      <c r="H45" s="18">
        <v>15787.005000000001</v>
      </c>
      <c r="I45" s="17" t="s">
        <v>459</v>
      </c>
      <c r="J45" s="18">
        <v>14978</v>
      </c>
      <c r="K45" s="17" t="s">
        <v>438</v>
      </c>
      <c r="L45" s="18">
        <v>14155.005000000001</v>
      </c>
      <c r="M45" s="17" t="s">
        <v>416</v>
      </c>
      <c r="N45" s="18">
        <v>14632</v>
      </c>
      <c r="O45" s="17" t="s">
        <v>398</v>
      </c>
      <c r="P45" s="18">
        <v>14777.005000000001</v>
      </c>
      <c r="Q45" s="17">
        <v>44090</v>
      </c>
      <c r="R45" s="18">
        <v>14844</v>
      </c>
      <c r="S45" s="17" t="s">
        <v>376</v>
      </c>
      <c r="T45" s="18">
        <v>14766</v>
      </c>
      <c r="U45" s="17">
        <v>44151</v>
      </c>
      <c r="V45" s="18">
        <v>14139.005000000001</v>
      </c>
      <c r="W45" s="17" t="s">
        <v>353</v>
      </c>
      <c r="X45" s="18">
        <v>14152</v>
      </c>
    </row>
    <row r="46" spans="1:38" x14ac:dyDescent="0.2">
      <c r="A46" s="17" t="s">
        <v>517</v>
      </c>
      <c r="B46" s="18">
        <v>13658</v>
      </c>
      <c r="C46" s="17" t="s">
        <v>497</v>
      </c>
      <c r="D46" s="18">
        <v>13679.005000000001</v>
      </c>
      <c r="E46" s="17" t="s">
        <v>476</v>
      </c>
      <c r="F46" s="18">
        <v>14815.005000000001</v>
      </c>
      <c r="G46" s="17">
        <v>43936</v>
      </c>
      <c r="H46" s="18">
        <v>15707.005000000001</v>
      </c>
      <c r="I46" s="17" t="s">
        <v>460</v>
      </c>
      <c r="J46" s="18">
        <v>14936</v>
      </c>
      <c r="K46" s="17" t="s">
        <v>439</v>
      </c>
      <c r="L46" s="18">
        <v>14228</v>
      </c>
      <c r="M46" s="17" t="s">
        <v>417</v>
      </c>
      <c r="N46" s="18">
        <v>14616</v>
      </c>
      <c r="O46" s="17" t="s">
        <v>399</v>
      </c>
      <c r="P46" s="18">
        <v>14728</v>
      </c>
      <c r="Q46" s="17">
        <v>44089</v>
      </c>
      <c r="R46" s="18">
        <v>14870</v>
      </c>
      <c r="S46" s="17" t="s">
        <v>377</v>
      </c>
      <c r="T46" s="18">
        <v>14760</v>
      </c>
      <c r="U46" s="17">
        <v>44148</v>
      </c>
      <c r="V46" s="18">
        <v>14222</v>
      </c>
      <c r="W46" s="17" t="s">
        <v>354</v>
      </c>
      <c r="X46" s="18">
        <v>14151.005000000001</v>
      </c>
    </row>
    <row r="47" spans="1:38" x14ac:dyDescent="0.2">
      <c r="A47" s="17" t="s">
        <v>518</v>
      </c>
      <c r="B47" s="18">
        <v>13706</v>
      </c>
      <c r="C47" s="17" t="s">
        <v>498</v>
      </c>
      <c r="D47" s="18">
        <v>13659.004999999999</v>
      </c>
      <c r="E47" s="17" t="s">
        <v>477</v>
      </c>
      <c r="F47" s="18">
        <v>14490</v>
      </c>
      <c r="G47" s="17">
        <v>43935</v>
      </c>
      <c r="H47" s="18">
        <v>15722</v>
      </c>
      <c r="I47" s="17" t="s">
        <v>461</v>
      </c>
      <c r="J47" s="18">
        <v>15009.004999999999</v>
      </c>
      <c r="K47" s="17" t="s">
        <v>440</v>
      </c>
      <c r="L47" s="18">
        <v>14257.005000000001</v>
      </c>
      <c r="M47" s="17" t="s">
        <v>418</v>
      </c>
      <c r="N47" s="18">
        <v>14512</v>
      </c>
      <c r="O47" s="17" t="s">
        <v>400</v>
      </c>
      <c r="P47" s="18">
        <v>14750</v>
      </c>
      <c r="Q47" s="17">
        <v>44088</v>
      </c>
      <c r="R47" s="18">
        <v>14974</v>
      </c>
      <c r="S47" s="17" t="s">
        <v>378</v>
      </c>
      <c r="T47" s="18">
        <v>14780</v>
      </c>
      <c r="U47" s="17">
        <v>44147</v>
      </c>
      <c r="V47" s="18">
        <v>14187.005000000001</v>
      </c>
      <c r="W47" s="17" t="s">
        <v>355</v>
      </c>
      <c r="X47" s="18">
        <v>14171.005000000001</v>
      </c>
    </row>
    <row r="48" spans="1:38" x14ac:dyDescent="0.2">
      <c r="A48" s="17" t="s">
        <v>519</v>
      </c>
      <c r="B48" s="18">
        <v>13654</v>
      </c>
      <c r="C48" s="17" t="s">
        <v>499</v>
      </c>
      <c r="D48" s="18">
        <v>13686</v>
      </c>
      <c r="E48" s="17" t="s">
        <v>478</v>
      </c>
      <c r="F48" s="18">
        <v>14323.005000000001</v>
      </c>
      <c r="G48" s="17">
        <v>43934</v>
      </c>
      <c r="H48" s="18">
        <v>15840</v>
      </c>
      <c r="I48" s="17" t="s">
        <v>462</v>
      </c>
      <c r="J48" s="18">
        <v>15127.005000000001</v>
      </c>
      <c r="K48" s="17" t="s">
        <v>441</v>
      </c>
      <c r="L48" s="18">
        <v>14014</v>
      </c>
      <c r="M48" s="17" t="s">
        <v>419</v>
      </c>
      <c r="N48" s="18">
        <v>14486</v>
      </c>
      <c r="O48" s="17" t="s">
        <v>401</v>
      </c>
      <c r="P48" s="18">
        <v>14647.005000000001</v>
      </c>
      <c r="Q48" s="17">
        <v>44085</v>
      </c>
      <c r="R48" s="18">
        <v>14979.005000000001</v>
      </c>
      <c r="S48" s="17" t="s">
        <v>379</v>
      </c>
      <c r="T48" s="18">
        <v>14793.005000000001</v>
      </c>
      <c r="U48" s="17">
        <v>44146</v>
      </c>
      <c r="V48" s="18">
        <v>14076</v>
      </c>
      <c r="W48" s="17" t="s">
        <v>356</v>
      </c>
      <c r="X48" s="18">
        <v>14158</v>
      </c>
    </row>
    <row r="49" spans="1:24" x14ac:dyDescent="0.2">
      <c r="A49" s="17" t="s">
        <v>520</v>
      </c>
      <c r="B49" s="18">
        <v>13708</v>
      </c>
      <c r="C49" s="17" t="s">
        <v>500</v>
      </c>
      <c r="D49" s="18">
        <v>13708</v>
      </c>
      <c r="E49" s="17" t="s">
        <v>479</v>
      </c>
      <c r="F49" s="18">
        <v>14411.005000000001</v>
      </c>
      <c r="G49" s="17">
        <v>43930</v>
      </c>
      <c r="H49" s="18">
        <v>16241.004999999999</v>
      </c>
      <c r="I49" s="17" t="s">
        <v>463</v>
      </c>
      <c r="J49" s="18">
        <v>15104</v>
      </c>
      <c r="K49" s="17" t="s">
        <v>442</v>
      </c>
      <c r="L49" s="18">
        <v>14083.005000000001</v>
      </c>
      <c r="M49" s="17" t="s">
        <v>420</v>
      </c>
      <c r="N49" s="18">
        <v>14501.005000000001</v>
      </c>
      <c r="O49" s="17" t="s">
        <v>402</v>
      </c>
      <c r="P49" s="18">
        <v>14587.005000000001</v>
      </c>
      <c r="Q49" s="17">
        <v>44084</v>
      </c>
      <c r="R49" s="18">
        <v>14871.005000000001</v>
      </c>
      <c r="S49" s="17" t="s">
        <v>380</v>
      </c>
      <c r="T49" s="18">
        <v>14746</v>
      </c>
      <c r="U49" s="17">
        <v>44145</v>
      </c>
      <c r="V49" s="18">
        <v>14015.005000000001</v>
      </c>
      <c r="W49" s="17" t="s">
        <v>357</v>
      </c>
      <c r="X49" s="18">
        <v>14102</v>
      </c>
    </row>
    <row r="50" spans="1:24" x14ac:dyDescent="0.2">
      <c r="A50" s="17" t="s">
        <v>521</v>
      </c>
      <c r="B50" s="18">
        <v>13812</v>
      </c>
      <c r="C50" s="17" t="s">
        <v>501</v>
      </c>
      <c r="D50" s="18">
        <v>13647.005000000001</v>
      </c>
      <c r="E50" s="17" t="s">
        <v>480</v>
      </c>
      <c r="F50" s="18">
        <v>14342</v>
      </c>
      <c r="G50" s="17">
        <v>43929</v>
      </c>
      <c r="H50" s="18">
        <v>16245.005000000001</v>
      </c>
      <c r="I50" s="17" t="s">
        <v>464</v>
      </c>
      <c r="J50" s="18">
        <v>15073.005000000001</v>
      </c>
      <c r="K50" s="17" t="s">
        <v>443</v>
      </c>
      <c r="L50" s="18">
        <v>13973.005000000001</v>
      </c>
      <c r="M50" s="17" t="s">
        <v>421</v>
      </c>
      <c r="N50" s="18">
        <v>14446</v>
      </c>
      <c r="O50" s="17" t="s">
        <v>403</v>
      </c>
      <c r="P50" s="18">
        <v>14623.005000000001</v>
      </c>
      <c r="Q50" s="17">
        <v>44083</v>
      </c>
      <c r="R50" s="18">
        <v>14853.005000000001</v>
      </c>
      <c r="S50" s="17" t="s">
        <v>381</v>
      </c>
      <c r="T50" s="18">
        <v>14737.005000000001</v>
      </c>
      <c r="U50" s="17">
        <v>44144</v>
      </c>
      <c r="V50" s="18">
        <v>14172</v>
      </c>
      <c r="W50" s="17" t="s">
        <v>358</v>
      </c>
      <c r="X50" s="18">
        <v>14130</v>
      </c>
    </row>
    <row r="51" spans="1:24" x14ac:dyDescent="0.2">
      <c r="A51" s="17" t="s">
        <v>522</v>
      </c>
      <c r="B51" s="18">
        <v>13860</v>
      </c>
      <c r="C51" s="17" t="s">
        <v>502</v>
      </c>
      <c r="D51" s="18">
        <v>13662</v>
      </c>
      <c r="E51" s="17" t="s">
        <v>481</v>
      </c>
      <c r="F51" s="18">
        <v>14267.005000000001</v>
      </c>
      <c r="G51" s="17">
        <v>43928</v>
      </c>
      <c r="H51" s="18">
        <v>16410</v>
      </c>
      <c r="I51" s="17"/>
      <c r="J51" s="18"/>
      <c r="K51" s="17" t="s">
        <v>444</v>
      </c>
      <c r="L51" s="18">
        <v>13956</v>
      </c>
      <c r="M51" s="17" t="s">
        <v>422</v>
      </c>
      <c r="N51" s="18">
        <v>14460</v>
      </c>
      <c r="O51" s="17" t="s">
        <v>404</v>
      </c>
      <c r="P51" s="18">
        <v>14697.005000000001</v>
      </c>
      <c r="Q51" s="17">
        <v>44082</v>
      </c>
      <c r="R51" s="18">
        <v>14798</v>
      </c>
      <c r="S51" s="17" t="s">
        <v>382</v>
      </c>
      <c r="T51" s="18">
        <v>14750</v>
      </c>
      <c r="U51" s="17">
        <v>44141</v>
      </c>
      <c r="V51" s="18">
        <v>14321.005000000001</v>
      </c>
      <c r="W51" s="17" t="s">
        <v>359</v>
      </c>
      <c r="X51" s="18">
        <v>14164</v>
      </c>
    </row>
    <row r="52" spans="1:24" x14ac:dyDescent="0.2">
      <c r="A52" s="17" t="s">
        <v>523</v>
      </c>
      <c r="B52" s="18">
        <v>13934</v>
      </c>
      <c r="C52" s="17" t="s">
        <v>503</v>
      </c>
      <c r="D52" s="18">
        <v>13717.005000000001</v>
      </c>
      <c r="E52" s="17" t="s">
        <v>482</v>
      </c>
      <c r="F52" s="18">
        <v>14168</v>
      </c>
      <c r="G52" s="17">
        <v>43927</v>
      </c>
      <c r="H52" s="18">
        <v>16556</v>
      </c>
      <c r="I52" s="17"/>
      <c r="J52" s="18"/>
      <c r="K52" s="17" t="s">
        <v>445</v>
      </c>
      <c r="L52" s="18">
        <v>14100</v>
      </c>
      <c r="M52" s="17" t="s">
        <v>423</v>
      </c>
      <c r="N52" s="18">
        <v>14456</v>
      </c>
      <c r="O52" s="17" t="s">
        <v>405</v>
      </c>
      <c r="P52" s="18">
        <v>14713.005000000001</v>
      </c>
      <c r="Q52" s="17">
        <v>44081</v>
      </c>
      <c r="R52" s="18">
        <v>14754</v>
      </c>
      <c r="S52" s="17" t="s">
        <v>383</v>
      </c>
      <c r="T52" s="18">
        <v>14784</v>
      </c>
      <c r="U52" s="17">
        <v>44140</v>
      </c>
      <c r="V52" s="18">
        <v>14439.005000000001</v>
      </c>
      <c r="W52" s="17" t="s">
        <v>360</v>
      </c>
      <c r="X52" s="18">
        <v>14164</v>
      </c>
    </row>
    <row r="53" spans="1:24" x14ac:dyDescent="0.2">
      <c r="A53" s="17" t="s">
        <v>524</v>
      </c>
      <c r="B53" s="18">
        <v>13919.005000000001</v>
      </c>
      <c r="C53" s="17" t="s">
        <v>504</v>
      </c>
      <c r="D53" s="18">
        <v>13760</v>
      </c>
      <c r="E53" s="17" t="s">
        <v>483</v>
      </c>
      <c r="F53" s="18">
        <v>14171.005000000001</v>
      </c>
      <c r="G53" s="17">
        <v>43924</v>
      </c>
      <c r="H53" s="18">
        <v>16464</v>
      </c>
      <c r="I53" s="17"/>
      <c r="J53" s="18"/>
      <c r="K53" s="17" t="s">
        <v>446</v>
      </c>
      <c r="L53" s="18">
        <v>14165.005000000001</v>
      </c>
      <c r="M53" s="17" t="s">
        <v>424</v>
      </c>
      <c r="N53" s="18">
        <v>14547.005000000001</v>
      </c>
      <c r="O53" s="17"/>
      <c r="P53" s="18"/>
      <c r="Q53" s="17">
        <v>44078</v>
      </c>
      <c r="R53" s="18">
        <v>14792</v>
      </c>
      <c r="S53" s="17" t="s">
        <v>384</v>
      </c>
      <c r="T53" s="18">
        <v>14712</v>
      </c>
      <c r="U53" s="17">
        <v>44139</v>
      </c>
      <c r="V53" s="18">
        <v>14557.005000000001</v>
      </c>
      <c r="W53" s="17" t="s">
        <v>361</v>
      </c>
      <c r="X53" s="18">
        <v>14135.005000000001</v>
      </c>
    </row>
    <row r="54" spans="1:24" x14ac:dyDescent="0.2">
      <c r="A54" s="17" t="s">
        <v>525</v>
      </c>
      <c r="B54" s="18">
        <v>13961.005000000001</v>
      </c>
      <c r="C54" s="17" t="s">
        <v>505</v>
      </c>
      <c r="D54" s="18">
        <v>13726</v>
      </c>
      <c r="E54" s="17" t="s">
        <v>484</v>
      </c>
      <c r="F54" s="18">
        <v>14222</v>
      </c>
      <c r="G54" s="17">
        <v>43923</v>
      </c>
      <c r="H54" s="18">
        <v>16741.004999999997</v>
      </c>
      <c r="I54" s="17"/>
      <c r="J54" s="18"/>
      <c r="K54" s="17" t="s">
        <v>447</v>
      </c>
      <c r="L54" s="18">
        <v>14245.005000000001</v>
      </c>
      <c r="M54" s="17" t="s">
        <v>425</v>
      </c>
      <c r="N54" s="18">
        <v>14566</v>
      </c>
      <c r="O54" s="17"/>
      <c r="P54" s="18"/>
      <c r="Q54" s="17">
        <v>44077</v>
      </c>
      <c r="R54" s="18">
        <v>14818</v>
      </c>
      <c r="S54" s="17" t="s">
        <v>385</v>
      </c>
      <c r="T54" s="18">
        <v>14867.005000000001</v>
      </c>
      <c r="U54" s="17">
        <v>44138</v>
      </c>
      <c r="V54" s="18">
        <v>14609.004999999999</v>
      </c>
      <c r="W54" s="17" t="s">
        <v>362</v>
      </c>
      <c r="X54" s="18">
        <v>14182</v>
      </c>
    </row>
    <row r="55" spans="1:24" x14ac:dyDescent="0.2">
      <c r="A55" s="17" t="s">
        <v>526</v>
      </c>
      <c r="B55" s="18">
        <v>13899.005000000001</v>
      </c>
      <c r="C55" s="19"/>
      <c r="D55" s="18"/>
      <c r="E55" s="17" t="s">
        <v>485</v>
      </c>
      <c r="F55" s="18">
        <v>14413.005000000001</v>
      </c>
      <c r="G55" s="17">
        <v>43922</v>
      </c>
      <c r="H55" s="18">
        <v>16413.005000000001</v>
      </c>
      <c r="I55" s="17"/>
      <c r="J55" s="18"/>
      <c r="K55" s="17" t="s">
        <v>448</v>
      </c>
      <c r="L55" s="18">
        <v>14502</v>
      </c>
      <c r="M55" s="17" t="s">
        <v>426</v>
      </c>
      <c r="N55" s="18">
        <v>14516</v>
      </c>
      <c r="O55" s="19"/>
      <c r="P55" s="18"/>
      <c r="Q55" s="17">
        <v>44076</v>
      </c>
      <c r="R55" s="18">
        <v>14804</v>
      </c>
      <c r="S55" s="19" t="s">
        <v>386</v>
      </c>
      <c r="T55" s="18">
        <v>14890</v>
      </c>
      <c r="U55" s="17">
        <v>44137</v>
      </c>
      <c r="V55" s="18">
        <v>14718</v>
      </c>
      <c r="W55" s="17" t="s">
        <v>363</v>
      </c>
      <c r="X55" s="18">
        <v>14177.005000000001</v>
      </c>
    </row>
    <row r="56" spans="1:24" x14ac:dyDescent="0.2">
      <c r="A56" s="17" t="s">
        <v>527</v>
      </c>
      <c r="B56" s="18">
        <v>13895.005000000001</v>
      </c>
      <c r="C56" s="19"/>
      <c r="D56" s="18"/>
      <c r="E56" s="17"/>
      <c r="F56" s="18"/>
      <c r="G56" s="17"/>
      <c r="H56" s="18"/>
      <c r="I56" s="19"/>
      <c r="J56" s="18"/>
      <c r="K56" s="17"/>
      <c r="L56" s="18"/>
      <c r="M56" s="19" t="s">
        <v>427</v>
      </c>
      <c r="N56" s="18">
        <v>14341.004999999999</v>
      </c>
      <c r="O56" s="19"/>
      <c r="P56" s="18"/>
      <c r="Q56" s="17">
        <v>44075</v>
      </c>
      <c r="R56" s="18">
        <v>14615.005000000001</v>
      </c>
      <c r="S56" s="19" t="s">
        <v>387</v>
      </c>
      <c r="T56" s="18">
        <v>14876</v>
      </c>
      <c r="U56" s="17"/>
      <c r="V56" s="18"/>
      <c r="W56" s="17" t="s">
        <v>364</v>
      </c>
      <c r="X56" s="18">
        <v>14164</v>
      </c>
    </row>
    <row r="57" spans="1:24" x14ac:dyDescent="0.2">
      <c r="A57" s="17"/>
      <c r="B57" s="18"/>
      <c r="C57" s="19"/>
      <c r="D57" s="18"/>
      <c r="E57" s="17"/>
      <c r="F57" s="18"/>
      <c r="G57" s="19"/>
      <c r="H57" s="18"/>
      <c r="I57" s="19"/>
      <c r="J57" s="18"/>
      <c r="K57" s="19"/>
      <c r="L57" s="18"/>
      <c r="M57" s="19"/>
      <c r="N57" s="18"/>
      <c r="O57" s="19"/>
      <c r="P57" s="18"/>
      <c r="Q57" s="19"/>
      <c r="R57" s="18"/>
      <c r="S57" s="19"/>
      <c r="T57" s="18"/>
      <c r="U57" s="19"/>
      <c r="V57" s="18"/>
      <c r="W57" s="17" t="s">
        <v>365</v>
      </c>
      <c r="X57" s="18">
        <v>14178</v>
      </c>
    </row>
    <row r="58" spans="1:24" x14ac:dyDescent="0.2">
      <c r="A58" s="15"/>
      <c r="B58" s="20">
        <f>AVERAGE(B35:B57)</f>
        <v>13732.228409090911</v>
      </c>
      <c r="C58" s="15"/>
      <c r="D58" s="20">
        <f>AVERAGE(D35:D57)</f>
        <v>13776.152750000003</v>
      </c>
      <c r="E58" s="15"/>
      <c r="F58" s="20">
        <f>AVERAGE(F35:F57)</f>
        <v>15194.573809523812</v>
      </c>
      <c r="G58" s="15"/>
      <c r="H58" s="20">
        <f>AVERAGE(H35:H57)</f>
        <v>15867.431904761908</v>
      </c>
      <c r="I58" s="15"/>
      <c r="J58" s="20">
        <f>AVERAGE(J35:J57)</f>
        <v>14906.190937500003</v>
      </c>
      <c r="K58" s="15"/>
      <c r="L58" s="20">
        <f>AVERAGE(L35:L57)</f>
        <v>14195.955000000002</v>
      </c>
      <c r="M58" s="15"/>
      <c r="N58" s="20">
        <f>AVERAGE(N35:N57)</f>
        <v>14582.411136363638</v>
      </c>
      <c r="O58" s="15"/>
      <c r="P58" s="20">
        <f>AVERAGE(P35:P57)</f>
        <v>14724.502500000002</v>
      </c>
      <c r="Q58" s="15"/>
      <c r="R58" s="20">
        <f>AVERAGE(R35:R57)</f>
        <v>14847.956590909092</v>
      </c>
      <c r="S58" s="15"/>
      <c r="T58" s="20">
        <f>AVERAGE(T35:T57)</f>
        <v>14749.137954545457</v>
      </c>
      <c r="U58" s="15"/>
      <c r="V58" s="20">
        <f>AVERAGE(V35:V57)</f>
        <v>14236.812142857145</v>
      </c>
      <c r="W58" s="15"/>
      <c r="X58" s="20">
        <f>AVERAGE(X35:X57)</f>
        <v>14173.088478260872</v>
      </c>
    </row>
    <row r="60" spans="1:24" x14ac:dyDescent="0.2">
      <c r="A60" s="21" t="s">
        <v>342</v>
      </c>
      <c r="B60" s="22"/>
      <c r="C60" s="23">
        <f>AVERAGE(B58:X58)</f>
        <v>14582.203467817737</v>
      </c>
      <c r="D60" s="24"/>
    </row>
  </sheetData>
  <mergeCells count="25">
    <mergeCell ref="Q3:R3"/>
    <mergeCell ref="S3:T3"/>
    <mergeCell ref="U3:V3"/>
    <mergeCell ref="A2:D2"/>
    <mergeCell ref="A3:B3"/>
    <mergeCell ref="C3:D3"/>
    <mergeCell ref="E3:F3"/>
    <mergeCell ref="G3:H3"/>
    <mergeCell ref="I3:J3"/>
    <mergeCell ref="S33:T33"/>
    <mergeCell ref="U33:V33"/>
    <mergeCell ref="W33:X33"/>
    <mergeCell ref="W3:X3"/>
    <mergeCell ref="A33:B33"/>
    <mergeCell ref="C33:D33"/>
    <mergeCell ref="E33:F33"/>
    <mergeCell ref="G33:H33"/>
    <mergeCell ref="I33:J33"/>
    <mergeCell ref="K33:L33"/>
    <mergeCell ref="M33:N33"/>
    <mergeCell ref="O33:P33"/>
    <mergeCell ref="Q33:R33"/>
    <mergeCell ref="K3:L3"/>
    <mergeCell ref="M3:N3"/>
    <mergeCell ref="O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Siap Olah</vt:lpstr>
      <vt:lpstr>Lampiran</vt:lpstr>
      <vt:lpstr>2023 - 2019</vt:lpstr>
      <vt:lpstr>2018-2014</vt:lpstr>
      <vt:lpstr>Breakdown Bank 2023-2019</vt:lpstr>
      <vt:lpstr>Breakdown Bank 2018-2014</vt:lpstr>
      <vt:lpstr>Makro Ekonomi - Variabel X</vt:lpstr>
      <vt:lpstr>Sheet2</vt:lpstr>
      <vt:lpstr>USD</vt:lpstr>
      <vt:lpstr>Daftar LQ 45</vt:lpstr>
      <vt:lpstr>Sheet1</vt:lpstr>
      <vt:lpstr>Variabel</vt:lpstr>
      <vt:lpstr>Variable Y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hisyam</cp:lastModifiedBy>
  <dcterms:created xsi:type="dcterms:W3CDTF">2022-01-24T14:06:13Z</dcterms:created>
  <dcterms:modified xsi:type="dcterms:W3CDTF">2024-07-20T04:33:46Z</dcterms:modified>
</cp:coreProperties>
</file>